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GRAYSD\Desktop\"/>
    </mc:Choice>
  </mc:AlternateContent>
  <xr:revisionPtr revIDLastSave="0" documentId="8_{C3EA84D2-6EC1-4A7D-AF24-FA30E56FE127}" xr6:coauthVersionLast="47" xr6:coauthVersionMax="47" xr10:uidLastSave="{00000000-0000-0000-0000-000000000000}"/>
  <bookViews>
    <workbookView xWindow="48480" yWindow="-120" windowWidth="29040" windowHeight="17640" firstSheet="2" activeTab="2" xr2:uid="{62B960AC-4F7D-4399-A9F8-C6E141117821}"/>
  </bookViews>
  <sheets>
    <sheet name="T" sheetId="1" state="hidden" r:id="rId1"/>
    <sheet name="Settings" sheetId="2" state="hidden" r:id="rId2"/>
    <sheet name="Your Details" sheetId="3" r:id="rId3"/>
    <sheet name="Enter Your Predictions Here" sheetId="4" r:id="rId4"/>
    <sheet name="Points Tracker" sheetId="5" r:id="rId5"/>
  </sheets>
  <definedNames>
    <definedName name="db_fifarank">Settings!$B$17:$C$48</definedName>
    <definedName name="gmt_delta">Settings!$G$16</definedName>
    <definedName name="lang">Settings!$G$15</definedName>
    <definedName name="lang_list">T!$1:$1</definedName>
    <definedName name="my_team">Settings!$I$15</definedName>
    <definedName name="_xlnm.Print_Area" localSheetId="3">'Enter Your Predictions Here'!$A$2:$CC$60</definedName>
    <definedName name="_xlnm.Print_Area" localSheetId="4">'Points Tracker'!$A$1:$P$56</definedName>
    <definedName name="_xlnm.Print_Area" localSheetId="2">'Your Details'!$A$1:$L$33</definedName>
    <definedName name="T">T!$1:$1048576</definedName>
    <definedName name="teams">Settings!$I$17:$I$48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4" l="1"/>
  <c r="B13" i="4"/>
  <c r="C13" i="4"/>
  <c r="A14" i="4"/>
  <c r="B14" i="4"/>
  <c r="C14" i="4"/>
  <c r="A15" i="4"/>
  <c r="B15" i="4"/>
  <c r="C15" i="4"/>
  <c r="A16" i="4"/>
  <c r="B16" i="4"/>
  <c r="C16" i="4"/>
  <c r="A17" i="4"/>
  <c r="B17" i="4"/>
  <c r="C17" i="4"/>
  <c r="A18" i="4"/>
  <c r="B18" i="4"/>
  <c r="C18" i="4"/>
  <c r="A19" i="4"/>
  <c r="B19" i="4"/>
  <c r="C19" i="4"/>
  <c r="A20" i="4"/>
  <c r="B20" i="4"/>
  <c r="C20" i="4"/>
  <c r="A21" i="4"/>
  <c r="B21" i="4"/>
  <c r="C21" i="4"/>
  <c r="A22" i="4"/>
  <c r="B22" i="4"/>
  <c r="C22" i="4"/>
  <c r="A23" i="4"/>
  <c r="B23" i="4"/>
  <c r="C23" i="4"/>
  <c r="A24" i="4"/>
  <c r="B24" i="4"/>
  <c r="C24" i="4"/>
  <c r="A25" i="4"/>
  <c r="B25" i="4"/>
  <c r="C25" i="4"/>
  <c r="A26" i="4"/>
  <c r="B26" i="4"/>
  <c r="C26" i="4"/>
  <c r="A27" i="4"/>
  <c r="B27" i="4"/>
  <c r="C27" i="4"/>
  <c r="A28" i="4"/>
  <c r="B28" i="4"/>
  <c r="C28" i="4"/>
  <c r="A29" i="4"/>
  <c r="B29" i="4"/>
  <c r="C29" i="4"/>
  <c r="A30" i="4"/>
  <c r="B30" i="4"/>
  <c r="C30" i="4"/>
  <c r="A31" i="4"/>
  <c r="B31" i="4"/>
  <c r="C31" i="4"/>
  <c r="A32" i="4"/>
  <c r="B32" i="4"/>
  <c r="C32" i="4"/>
  <c r="A33" i="4"/>
  <c r="B33" i="4"/>
  <c r="C33" i="4"/>
  <c r="A34" i="4"/>
  <c r="B34" i="4"/>
  <c r="C34" i="4"/>
  <c r="A35" i="4"/>
  <c r="B35" i="4"/>
  <c r="C35" i="4"/>
  <c r="A36" i="4"/>
  <c r="B36" i="4"/>
  <c r="C36" i="4"/>
  <c r="A37" i="4"/>
  <c r="B37" i="4"/>
  <c r="C37" i="4"/>
  <c r="A38" i="4"/>
  <c r="B38" i="4"/>
  <c r="C38" i="4"/>
  <c r="A39" i="4"/>
  <c r="B39" i="4"/>
  <c r="C39" i="4"/>
  <c r="A40" i="4"/>
  <c r="B40" i="4"/>
  <c r="C40" i="4"/>
  <c r="A41" i="4"/>
  <c r="B41" i="4"/>
  <c r="C41" i="4"/>
  <c r="A42" i="4"/>
  <c r="B42" i="4"/>
  <c r="C42" i="4"/>
  <c r="A43" i="4"/>
  <c r="B43" i="4"/>
  <c r="C43" i="4"/>
  <c r="A44" i="4"/>
  <c r="B44" i="4"/>
  <c r="C44" i="4"/>
  <c r="A45" i="4"/>
  <c r="B45" i="4"/>
  <c r="C45" i="4"/>
  <c r="A46" i="4"/>
  <c r="B46" i="4"/>
  <c r="C46" i="4"/>
  <c r="A47" i="4"/>
  <c r="B47" i="4"/>
  <c r="C47" i="4"/>
  <c r="A48" i="4"/>
  <c r="B48" i="4"/>
  <c r="C48" i="4"/>
  <c r="A49" i="4"/>
  <c r="B49" i="4"/>
  <c r="C49" i="4"/>
  <c r="A50" i="4"/>
  <c r="B50" i="4"/>
  <c r="C50" i="4"/>
  <c r="A51" i="4"/>
  <c r="B51" i="4"/>
  <c r="C51" i="4"/>
  <c r="A52" i="4"/>
  <c r="B52" i="4"/>
  <c r="C52" i="4"/>
  <c r="A53" i="4"/>
  <c r="B53" i="4"/>
  <c r="C53" i="4"/>
  <c r="A54" i="4"/>
  <c r="B54" i="4"/>
  <c r="C54" i="4"/>
  <c r="A55" i="4"/>
  <c r="B55" i="4"/>
  <c r="C55" i="4"/>
  <c r="A56" i="4"/>
  <c r="B56" i="4"/>
  <c r="C56" i="4"/>
  <c r="A57" i="4"/>
  <c r="B57" i="4"/>
  <c r="C57" i="4"/>
  <c r="A58" i="4"/>
  <c r="B58" i="4"/>
  <c r="C58" i="4"/>
  <c r="A59" i="4"/>
  <c r="B59" i="4"/>
  <c r="C59" i="4"/>
  <c r="C12" i="4"/>
  <c r="N55" i="5"/>
  <c r="L55" i="5"/>
  <c r="J55" i="5"/>
  <c r="N54" i="5"/>
  <c r="O54" i="5" s="1"/>
  <c r="L54" i="5"/>
  <c r="J54" i="5"/>
  <c r="M54" i="5" s="1"/>
  <c r="N53" i="5"/>
  <c r="O53" i="5" s="1"/>
  <c r="L53" i="5"/>
  <c r="J53" i="5"/>
  <c r="M53" i="5" s="1"/>
  <c r="N52" i="5"/>
  <c r="O52" i="5" s="1"/>
  <c r="M52" i="5"/>
  <c r="L52" i="5"/>
  <c r="J52" i="5"/>
  <c r="N51" i="5"/>
  <c r="O51" i="5" s="1"/>
  <c r="M51" i="5"/>
  <c r="L51" i="5"/>
  <c r="J51" i="5"/>
  <c r="N50" i="5"/>
  <c r="L50" i="5"/>
  <c r="J50" i="5"/>
  <c r="O49" i="5"/>
  <c r="N49" i="5"/>
  <c r="M49" i="5"/>
  <c r="L49" i="5"/>
  <c r="J49" i="5"/>
  <c r="N48" i="5"/>
  <c r="O48" i="5" s="1"/>
  <c r="M48" i="5"/>
  <c r="L48" i="5"/>
  <c r="J48" i="5"/>
  <c r="N47" i="5"/>
  <c r="O47" i="5" s="1"/>
  <c r="L47" i="5"/>
  <c r="J47" i="5"/>
  <c r="M47" i="5" s="1"/>
  <c r="N46" i="5"/>
  <c r="O46" i="5" s="1"/>
  <c r="L46" i="5"/>
  <c r="J46" i="5"/>
  <c r="M46" i="5" s="1"/>
  <c r="N45" i="5"/>
  <c r="O45" i="5" s="1"/>
  <c r="L45" i="5"/>
  <c r="J45" i="5"/>
  <c r="M45" i="5" s="1"/>
  <c r="N44" i="5"/>
  <c r="O44" i="5" s="1"/>
  <c r="M44" i="5"/>
  <c r="L44" i="5"/>
  <c r="J44" i="5"/>
  <c r="N43" i="5"/>
  <c r="O43" i="5" s="1"/>
  <c r="M43" i="5"/>
  <c r="L43" i="5"/>
  <c r="J43" i="5"/>
  <c r="O42" i="5"/>
  <c r="N42" i="5"/>
  <c r="L42" i="5"/>
  <c r="J42" i="5"/>
  <c r="M42" i="5" s="1"/>
  <c r="O41" i="5"/>
  <c r="N41" i="5"/>
  <c r="M41" i="5"/>
  <c r="L41" i="5"/>
  <c r="J41" i="5"/>
  <c r="N40" i="5"/>
  <c r="O40" i="5" s="1"/>
  <c r="M40" i="5"/>
  <c r="L40" i="5"/>
  <c r="J40" i="5"/>
  <c r="N39" i="5"/>
  <c r="O39" i="5" s="1"/>
  <c r="L39" i="5"/>
  <c r="J39" i="5"/>
  <c r="M39" i="5" s="1"/>
  <c r="N38" i="5"/>
  <c r="O38" i="5" s="1"/>
  <c r="L38" i="5"/>
  <c r="J38" i="5"/>
  <c r="M38" i="5" s="1"/>
  <c r="N37" i="5"/>
  <c r="O37" i="5" s="1"/>
  <c r="L37" i="5"/>
  <c r="J37" i="5"/>
  <c r="M37" i="5" s="1"/>
  <c r="N36" i="5"/>
  <c r="O36" i="5" s="1"/>
  <c r="M36" i="5"/>
  <c r="L36" i="5"/>
  <c r="J36" i="5"/>
  <c r="N35" i="5"/>
  <c r="O35" i="5" s="1"/>
  <c r="M35" i="5"/>
  <c r="L35" i="5"/>
  <c r="J35" i="5"/>
  <c r="O34" i="5"/>
  <c r="N34" i="5"/>
  <c r="L34" i="5"/>
  <c r="J34" i="5"/>
  <c r="M34" i="5" s="1"/>
  <c r="O33" i="5"/>
  <c r="N33" i="5"/>
  <c r="M33" i="5"/>
  <c r="L33" i="5"/>
  <c r="J33" i="5"/>
  <c r="N32" i="5"/>
  <c r="O32" i="5" s="1"/>
  <c r="M32" i="5"/>
  <c r="L32" i="5"/>
  <c r="J32" i="5"/>
  <c r="N31" i="5"/>
  <c r="O31" i="5" s="1"/>
  <c r="L31" i="5"/>
  <c r="J31" i="5"/>
  <c r="M31" i="5" s="1"/>
  <c r="N30" i="5"/>
  <c r="O30" i="5" s="1"/>
  <c r="L30" i="5"/>
  <c r="J30" i="5"/>
  <c r="M30" i="5" s="1"/>
  <c r="N29" i="5"/>
  <c r="O29" i="5" s="1"/>
  <c r="L29" i="5"/>
  <c r="J29" i="5"/>
  <c r="M29" i="5" s="1"/>
  <c r="N28" i="5"/>
  <c r="O28" i="5" s="1"/>
  <c r="M28" i="5"/>
  <c r="L28" i="5"/>
  <c r="J28" i="5"/>
  <c r="N27" i="5"/>
  <c r="O27" i="5" s="1"/>
  <c r="M27" i="5"/>
  <c r="L27" i="5"/>
  <c r="J27" i="5"/>
  <c r="O26" i="5"/>
  <c r="N26" i="5"/>
  <c r="L26" i="5"/>
  <c r="J26" i="5"/>
  <c r="M26" i="5" s="1"/>
  <c r="O25" i="5"/>
  <c r="N25" i="5"/>
  <c r="M25" i="5"/>
  <c r="L25" i="5"/>
  <c r="J25" i="5"/>
  <c r="N24" i="5"/>
  <c r="O24" i="5" s="1"/>
  <c r="M24" i="5"/>
  <c r="L24" i="5"/>
  <c r="J24" i="5"/>
  <c r="N23" i="5"/>
  <c r="O23" i="5" s="1"/>
  <c r="L23" i="5"/>
  <c r="J23" i="5"/>
  <c r="M23" i="5" s="1"/>
  <c r="N22" i="5"/>
  <c r="O22" i="5" s="1"/>
  <c r="L22" i="5"/>
  <c r="J22" i="5"/>
  <c r="M22" i="5" s="1"/>
  <c r="N21" i="5"/>
  <c r="O21" i="5" s="1"/>
  <c r="L21" i="5"/>
  <c r="J21" i="5"/>
  <c r="M21" i="5" s="1"/>
  <c r="N20" i="5"/>
  <c r="O20" i="5" s="1"/>
  <c r="M20" i="5"/>
  <c r="L20" i="5"/>
  <c r="J20" i="5"/>
  <c r="N19" i="5"/>
  <c r="O19" i="5" s="1"/>
  <c r="M19" i="5"/>
  <c r="L19" i="5"/>
  <c r="J19" i="5"/>
  <c r="O18" i="5"/>
  <c r="N18" i="5"/>
  <c r="L18" i="5"/>
  <c r="J18" i="5"/>
  <c r="M18" i="5" s="1"/>
  <c r="O17" i="5"/>
  <c r="N17" i="5"/>
  <c r="M17" i="5"/>
  <c r="L17" i="5"/>
  <c r="J17" i="5"/>
  <c r="N16" i="5"/>
  <c r="O16" i="5" s="1"/>
  <c r="M16" i="5"/>
  <c r="L16" i="5"/>
  <c r="J16" i="5"/>
  <c r="N15" i="5"/>
  <c r="O15" i="5" s="1"/>
  <c r="L15" i="5"/>
  <c r="J15" i="5"/>
  <c r="M15" i="5" s="1"/>
  <c r="N14" i="5"/>
  <c r="O14" i="5" s="1"/>
  <c r="L14" i="5"/>
  <c r="J14" i="5"/>
  <c r="M14" i="5" s="1"/>
  <c r="N13" i="5"/>
  <c r="O13" i="5" s="1"/>
  <c r="L13" i="5"/>
  <c r="J13" i="5"/>
  <c r="M13" i="5" s="1"/>
  <c r="N12" i="5"/>
  <c r="O12" i="5" s="1"/>
  <c r="M12" i="5"/>
  <c r="L12" i="5"/>
  <c r="J12" i="5"/>
  <c r="N11" i="5"/>
  <c r="O11" i="5" s="1"/>
  <c r="M11" i="5"/>
  <c r="L11" i="5"/>
  <c r="J11" i="5"/>
  <c r="O10" i="5"/>
  <c r="N10" i="5"/>
  <c r="L10" i="5"/>
  <c r="J10" i="5"/>
  <c r="M10" i="5" s="1"/>
  <c r="O9" i="5"/>
  <c r="N9" i="5"/>
  <c r="M9" i="5"/>
  <c r="L9" i="5"/>
  <c r="J9" i="5"/>
  <c r="N8" i="5"/>
  <c r="L8" i="5"/>
  <c r="J8" i="5"/>
  <c r="W91" i="4"/>
  <c r="AC59" i="4"/>
  <c r="W59" i="4"/>
  <c r="L59" i="4"/>
  <c r="AC58" i="4"/>
  <c r="W58" i="4"/>
  <c r="L58" i="4"/>
  <c r="AC57" i="4"/>
  <c r="W57" i="4"/>
  <c r="X57" i="4" s="1"/>
  <c r="L57" i="4"/>
  <c r="AC56" i="4"/>
  <c r="W56" i="4"/>
  <c r="X56" i="4" s="1"/>
  <c r="L56" i="4"/>
  <c r="AC55" i="4"/>
  <c r="W55" i="4"/>
  <c r="L55" i="4"/>
  <c r="AC54" i="4"/>
  <c r="W54" i="4"/>
  <c r="X54" i="4" s="1"/>
  <c r="L54" i="4"/>
  <c r="AC53" i="4"/>
  <c r="W53" i="4"/>
  <c r="L53" i="4"/>
  <c r="AC52" i="4"/>
  <c r="W52" i="4"/>
  <c r="X52" i="4" s="1"/>
  <c r="L52" i="4"/>
  <c r="AC51" i="4"/>
  <c r="W51" i="4"/>
  <c r="L51" i="4"/>
  <c r="AC50" i="4"/>
  <c r="W50" i="4"/>
  <c r="L50" i="4"/>
  <c r="AC49" i="4"/>
  <c r="W49" i="4"/>
  <c r="X49" i="4" s="1"/>
  <c r="L49" i="4"/>
  <c r="AC48" i="4"/>
  <c r="W48" i="4"/>
  <c r="X48" i="4" s="1"/>
  <c r="L48" i="4"/>
  <c r="AC47" i="4"/>
  <c r="W47" i="4"/>
  <c r="L47" i="4"/>
  <c r="AC46" i="4"/>
  <c r="W46" i="4"/>
  <c r="L46" i="4"/>
  <c r="AC45" i="4"/>
  <c r="W45" i="4"/>
  <c r="L45" i="4"/>
  <c r="AC44" i="4"/>
  <c r="W44" i="4"/>
  <c r="X44" i="4" s="1"/>
  <c r="L44" i="4"/>
  <c r="AC43" i="4"/>
  <c r="W43" i="4"/>
  <c r="X43" i="4" s="1"/>
  <c r="L43" i="4"/>
  <c r="AC42" i="4"/>
  <c r="W42" i="4"/>
  <c r="L42" i="4"/>
  <c r="AC41" i="4"/>
  <c r="W41" i="4"/>
  <c r="X41" i="4" s="1"/>
  <c r="L41" i="4"/>
  <c r="AC40" i="4"/>
  <c r="W40" i="4"/>
  <c r="X40" i="4" s="1"/>
  <c r="L40" i="4"/>
  <c r="AC39" i="4"/>
  <c r="W39" i="4"/>
  <c r="X39" i="4" s="1"/>
  <c r="L39" i="4"/>
  <c r="AF38" i="4"/>
  <c r="AC38" i="4"/>
  <c r="W38" i="4"/>
  <c r="L38" i="4"/>
  <c r="AC37" i="4"/>
  <c r="W37" i="4"/>
  <c r="X37" i="4" s="1"/>
  <c r="L37" i="4"/>
  <c r="AC36" i="4"/>
  <c r="W36" i="4"/>
  <c r="L36" i="4"/>
  <c r="AC35" i="4"/>
  <c r="W35" i="4"/>
  <c r="L35" i="4"/>
  <c r="AC34" i="4"/>
  <c r="W34" i="4"/>
  <c r="X34" i="4" s="1"/>
  <c r="L34" i="4"/>
  <c r="AC33" i="4"/>
  <c r="W33" i="4"/>
  <c r="X33" i="4" s="1"/>
  <c r="L33" i="4"/>
  <c r="AC32" i="4"/>
  <c r="W32" i="4"/>
  <c r="X32" i="4" s="1"/>
  <c r="L32" i="4"/>
  <c r="AC31" i="4"/>
  <c r="W31" i="4"/>
  <c r="L31" i="4"/>
  <c r="AC30" i="4"/>
  <c r="W30" i="4"/>
  <c r="L30" i="4"/>
  <c r="AC29" i="4"/>
  <c r="W29" i="4"/>
  <c r="X29" i="4" s="1"/>
  <c r="L29" i="4"/>
  <c r="AC28" i="4"/>
  <c r="W28" i="4"/>
  <c r="X28" i="4" s="1"/>
  <c r="L28" i="4"/>
  <c r="AC27" i="4"/>
  <c r="W27" i="4"/>
  <c r="L27" i="4"/>
  <c r="AC26" i="4"/>
  <c r="W26" i="4"/>
  <c r="X26" i="4" s="1"/>
  <c r="L26" i="4"/>
  <c r="AC25" i="4"/>
  <c r="W25" i="4"/>
  <c r="L25" i="4"/>
  <c r="AC24" i="4"/>
  <c r="W24" i="4"/>
  <c r="X24" i="4" s="1"/>
  <c r="L24" i="4"/>
  <c r="AC23" i="4"/>
  <c r="W23" i="4"/>
  <c r="L23" i="4"/>
  <c r="AC22" i="4"/>
  <c r="W22" i="4"/>
  <c r="X22" i="4" s="1"/>
  <c r="L22" i="4"/>
  <c r="AC21" i="4"/>
  <c r="W21" i="4"/>
  <c r="L21" i="4"/>
  <c r="AC20" i="4"/>
  <c r="W20" i="4"/>
  <c r="L20" i="4"/>
  <c r="AC19" i="4"/>
  <c r="W19" i="4"/>
  <c r="L19" i="4"/>
  <c r="AC18" i="4"/>
  <c r="W18" i="4"/>
  <c r="X18" i="4" s="1"/>
  <c r="L18" i="4"/>
  <c r="AC17" i="4"/>
  <c r="W17" i="4"/>
  <c r="L17" i="4"/>
  <c r="AC16" i="4"/>
  <c r="W16" i="4"/>
  <c r="L16" i="4"/>
  <c r="AC15" i="4"/>
  <c r="W15" i="4"/>
  <c r="X15" i="4" s="1"/>
  <c r="L15" i="4"/>
  <c r="AC14" i="4"/>
  <c r="W14" i="4"/>
  <c r="L14" i="4"/>
  <c r="AC13" i="4"/>
  <c r="W13" i="4"/>
  <c r="L13" i="4"/>
  <c r="AC12" i="4"/>
  <c r="W12" i="4"/>
  <c r="L12" i="4"/>
  <c r="B12" i="4"/>
  <c r="A12" i="4"/>
  <c r="H2" i="4"/>
  <c r="G48" i="2"/>
  <c r="F47" i="2"/>
  <c r="F36" i="2"/>
  <c r="B31" i="2"/>
  <c r="B27" i="2"/>
  <c r="B23" i="2"/>
  <c r="B19" i="2"/>
  <c r="I15" i="2"/>
  <c r="AB47" i="4" s="1"/>
  <c r="G15" i="2"/>
  <c r="AF33" i="4" s="1"/>
  <c r="M55" i="5" l="1"/>
  <c r="O55" i="5" s="1"/>
  <c r="M50" i="5"/>
  <c r="O50" i="5" s="1"/>
  <c r="X35" i="4"/>
  <c r="X38" i="4"/>
  <c r="X46" i="4"/>
  <c r="X16" i="4"/>
  <c r="X30" i="4"/>
  <c r="M8" i="5"/>
  <c r="O8" i="5" s="1"/>
  <c r="L5" i="5"/>
  <c r="AB14" i="4"/>
  <c r="AB33" i="4"/>
  <c r="X12" i="4"/>
  <c r="N5" i="5"/>
  <c r="AB25" i="4"/>
  <c r="AJ33" i="4"/>
  <c r="AK33" i="4"/>
  <c r="AK38" i="4"/>
  <c r="AJ38" i="4"/>
  <c r="F23" i="2"/>
  <c r="AB59" i="4"/>
  <c r="AB56" i="4"/>
  <c r="AB46" i="4"/>
  <c r="AB57" i="4"/>
  <c r="AB54" i="4"/>
  <c r="AB43" i="4"/>
  <c r="AB40" i="4"/>
  <c r="AB55" i="4"/>
  <c r="AB50" i="4"/>
  <c r="AB42" i="4"/>
  <c r="AB35" i="4"/>
  <c r="AB38" i="4"/>
  <c r="AB51" i="4"/>
  <c r="AB31" i="4"/>
  <c r="AB24" i="4"/>
  <c r="AB52" i="4"/>
  <c r="AB37" i="4"/>
  <c r="AB58" i="4"/>
  <c r="AB45" i="4"/>
  <c r="AB26" i="4"/>
  <c r="AB34" i="4"/>
  <c r="AB27" i="4"/>
  <c r="AB12" i="4"/>
  <c r="AB22" i="4"/>
  <c r="AB15" i="4"/>
  <c r="AB30" i="4"/>
  <c r="AB28" i="4"/>
  <c r="AB41" i="4"/>
  <c r="AB18" i="4"/>
  <c r="AB16" i="4"/>
  <c r="AB48" i="4"/>
  <c r="AB39" i="4"/>
  <c r="AB29" i="4"/>
  <c r="AB19" i="4"/>
  <c r="AB17" i="4"/>
  <c r="AB13" i="4"/>
  <c r="B20" i="2"/>
  <c r="B24" i="2"/>
  <c r="B28" i="2"/>
  <c r="B32" i="2"/>
  <c r="F39" i="2"/>
  <c r="AF14" i="4"/>
  <c r="AF56" i="4"/>
  <c r="F19" i="2"/>
  <c r="F31" i="2"/>
  <c r="X27" i="4"/>
  <c r="F24" i="2"/>
  <c r="AF15" i="4"/>
  <c r="B17" i="2"/>
  <c r="B21" i="2"/>
  <c r="B25" i="2"/>
  <c r="B29" i="2"/>
  <c r="B33" i="2"/>
  <c r="B43" i="2"/>
  <c r="AB20" i="4"/>
  <c r="AB21" i="4"/>
  <c r="AB53" i="4"/>
  <c r="F27" i="2"/>
  <c r="F32" i="2"/>
  <c r="F17" i="2"/>
  <c r="F21" i="2"/>
  <c r="F25" i="2"/>
  <c r="F29" i="2"/>
  <c r="F33" i="2"/>
  <c r="F43" i="2"/>
  <c r="AF25" i="4"/>
  <c r="X31" i="4"/>
  <c r="AB44" i="4"/>
  <c r="AF57" i="4"/>
  <c r="AF52" i="4"/>
  <c r="AF43" i="4"/>
  <c r="AF40" i="4"/>
  <c r="AF58" i="4"/>
  <c r="AF46" i="4"/>
  <c r="AF51" i="4"/>
  <c r="AF37" i="4"/>
  <c r="AF32" i="4"/>
  <c r="AF50" i="4"/>
  <c r="AF44" i="4"/>
  <c r="AF26" i="4"/>
  <c r="AF55" i="4"/>
  <c r="AF49" i="4"/>
  <c r="AF45" i="4"/>
  <c r="AF34" i="4"/>
  <c r="AF28" i="4"/>
  <c r="AF16" i="4"/>
  <c r="F46" i="2"/>
  <c r="F42" i="2"/>
  <c r="F38" i="2"/>
  <c r="F34" i="2"/>
  <c r="B46" i="2"/>
  <c r="B42" i="2"/>
  <c r="B38" i="2"/>
  <c r="B34" i="2"/>
  <c r="AF19" i="4"/>
  <c r="AF13" i="4"/>
  <c r="F45" i="2"/>
  <c r="F41" i="2"/>
  <c r="F37" i="2"/>
  <c r="AF39" i="4"/>
  <c r="AF20" i="4"/>
  <c r="B45" i="2"/>
  <c r="B41" i="2"/>
  <c r="B37" i="2"/>
  <c r="AF27" i="4"/>
  <c r="B48" i="2"/>
  <c r="B44" i="2"/>
  <c r="B40" i="2"/>
  <c r="B36" i="2"/>
  <c r="F48" i="2"/>
  <c r="F40" i="2"/>
  <c r="X21" i="4"/>
  <c r="B18" i="2"/>
  <c r="B22" i="2"/>
  <c r="B26" i="2"/>
  <c r="B30" i="2"/>
  <c r="B35" i="2"/>
  <c r="F44" i="2"/>
  <c r="AF21" i="4"/>
  <c r="AB23" i="4"/>
  <c r="AB49" i="4"/>
  <c r="B39" i="2"/>
  <c r="F20" i="2"/>
  <c r="F28" i="2"/>
  <c r="F18" i="2"/>
  <c r="F22" i="2"/>
  <c r="F26" i="2"/>
  <c r="F30" i="2"/>
  <c r="F35" i="2"/>
  <c r="B47" i="2"/>
  <c r="X14" i="4"/>
  <c r="AF22" i="4"/>
  <c r="AF31" i="4"/>
  <c r="AB32" i="4"/>
  <c r="AB36" i="4"/>
  <c r="X20" i="4"/>
  <c r="X23" i="4"/>
  <c r="X42" i="4"/>
  <c r="X50" i="4"/>
  <c r="X13" i="4"/>
  <c r="X17" i="4"/>
  <c r="X19" i="4"/>
  <c r="X25" i="4"/>
  <c r="X36" i="4"/>
  <c r="X51" i="4"/>
  <c r="X55" i="4"/>
  <c r="X59" i="4"/>
  <c r="X45" i="4"/>
  <c r="X47" i="4"/>
  <c r="X53" i="4"/>
  <c r="X58" i="4"/>
  <c r="O4" i="5" l="1"/>
  <c r="M5" i="5"/>
  <c r="AG33" i="4"/>
  <c r="AQ33" i="4"/>
  <c r="AJ55" i="4"/>
  <c r="AQ55" i="4"/>
  <c r="AI55" i="4"/>
  <c r="AH55" i="4"/>
  <c r="AG55" i="4"/>
  <c r="AK55" i="4"/>
  <c r="AH13" i="4"/>
  <c r="AG13" i="4"/>
  <c r="AK13" i="4"/>
  <c r="AQ13" i="4"/>
  <c r="AI13" i="4"/>
  <c r="AJ13" i="4"/>
  <c r="AK26" i="4"/>
  <c r="AJ26" i="4"/>
  <c r="AI26" i="4"/>
  <c r="AH26" i="4"/>
  <c r="AG26" i="4"/>
  <c r="AQ26" i="4"/>
  <c r="AM38" i="4"/>
  <c r="AH19" i="4"/>
  <c r="AG19" i="4"/>
  <c r="AK19" i="4"/>
  <c r="AQ19" i="4"/>
  <c r="AJ19" i="4"/>
  <c r="AI19" i="4"/>
  <c r="AG44" i="4"/>
  <c r="AH44" i="4"/>
  <c r="AQ44" i="4"/>
  <c r="AK44" i="4"/>
  <c r="AI44" i="4"/>
  <c r="AJ44" i="4"/>
  <c r="AG52" i="4"/>
  <c r="AJ52" i="4"/>
  <c r="AH52" i="4"/>
  <c r="AK52" i="4"/>
  <c r="AI52" i="4"/>
  <c r="AQ52" i="4"/>
  <c r="AK15" i="4"/>
  <c r="AJ15" i="4"/>
  <c r="AQ15" i="4"/>
  <c r="AI15" i="4"/>
  <c r="AG15" i="4"/>
  <c r="AH15" i="4"/>
  <c r="AH33" i="4"/>
  <c r="AK31" i="4"/>
  <c r="AH31" i="4"/>
  <c r="AQ31" i="4"/>
  <c r="AI31" i="4"/>
  <c r="AJ31" i="4"/>
  <c r="AG31" i="4"/>
  <c r="AK16" i="4"/>
  <c r="AQ16" i="4"/>
  <c r="AI16" i="4"/>
  <c r="AH16" i="4"/>
  <c r="AJ16" i="4"/>
  <c r="AG16" i="4"/>
  <c r="AJ50" i="4"/>
  <c r="AH50" i="4"/>
  <c r="AG50" i="4"/>
  <c r="AK50" i="4"/>
  <c r="AI50" i="4"/>
  <c r="AQ50" i="4"/>
  <c r="AJ14" i="4"/>
  <c r="AQ14" i="4"/>
  <c r="AI14" i="4"/>
  <c r="AH14" i="4"/>
  <c r="AG14" i="4"/>
  <c r="AK14" i="4"/>
  <c r="AI33" i="4"/>
  <c r="AQ20" i="4"/>
  <c r="AI20" i="4"/>
  <c r="AH20" i="4"/>
  <c r="AG20" i="4"/>
  <c r="AJ20" i="4"/>
  <c r="AK20" i="4"/>
  <c r="AQ28" i="4"/>
  <c r="AI28" i="4"/>
  <c r="AJ28" i="4"/>
  <c r="AK28" i="4"/>
  <c r="AG28" i="4"/>
  <c r="AH28" i="4"/>
  <c r="AQ32" i="4"/>
  <c r="AI32" i="4"/>
  <c r="AK32" i="4"/>
  <c r="AJ32" i="4"/>
  <c r="AH32" i="4"/>
  <c r="AG32" i="4"/>
  <c r="AQ58" i="4"/>
  <c r="AI58" i="4"/>
  <c r="AH58" i="4"/>
  <c r="AG58" i="4"/>
  <c r="AJ58" i="4"/>
  <c r="AK58" i="4"/>
  <c r="AK22" i="4"/>
  <c r="AJ22" i="4"/>
  <c r="AI22" i="4"/>
  <c r="AG22" i="4"/>
  <c r="AH22" i="4"/>
  <c r="AQ22" i="4"/>
  <c r="G16" i="2"/>
  <c r="AQ39" i="4"/>
  <c r="AI39" i="4"/>
  <c r="AK39" i="4"/>
  <c r="AJ39" i="4"/>
  <c r="AH39" i="4"/>
  <c r="AG39" i="4"/>
  <c r="AQ34" i="4"/>
  <c r="AI34" i="4"/>
  <c r="AG34" i="4"/>
  <c r="AK34" i="4"/>
  <c r="AH34" i="4"/>
  <c r="AJ34" i="4"/>
  <c r="AG37" i="4"/>
  <c r="AJ37" i="4"/>
  <c r="AQ37" i="4"/>
  <c r="AK37" i="4"/>
  <c r="AH37" i="4"/>
  <c r="AI37" i="4"/>
  <c r="AK40" i="4"/>
  <c r="AI40" i="4"/>
  <c r="AH40" i="4"/>
  <c r="AQ40" i="4"/>
  <c r="AG40" i="4"/>
  <c r="AJ40" i="4"/>
  <c r="AK57" i="4"/>
  <c r="AQ57" i="4"/>
  <c r="AI57" i="4"/>
  <c r="AG57" i="4"/>
  <c r="AJ57" i="4"/>
  <c r="AH57" i="4"/>
  <c r="AJ25" i="4"/>
  <c r="AK25" i="4"/>
  <c r="AI25" i="4"/>
  <c r="AH25" i="4"/>
  <c r="AQ25" i="4"/>
  <c r="AG25" i="4"/>
  <c r="AM33" i="4"/>
  <c r="AJ21" i="4"/>
  <c r="AQ21" i="4"/>
  <c r="AI21" i="4"/>
  <c r="AH21" i="4"/>
  <c r="AG21" i="4"/>
  <c r="AK21" i="4"/>
  <c r="AH45" i="4"/>
  <c r="AJ45" i="4"/>
  <c r="AI45" i="4"/>
  <c r="AG45" i="4"/>
  <c r="AQ45" i="4"/>
  <c r="AK45" i="4"/>
  <c r="AJ51" i="4"/>
  <c r="AQ51" i="4"/>
  <c r="AI51" i="4"/>
  <c r="AG51" i="4"/>
  <c r="AK51" i="4"/>
  <c r="AH51" i="4"/>
  <c r="AK43" i="4"/>
  <c r="AQ43" i="4"/>
  <c r="AG43" i="4"/>
  <c r="AJ43" i="4"/>
  <c r="AH43" i="4"/>
  <c r="AI43" i="4"/>
  <c r="AI38" i="4"/>
  <c r="AH38" i="4"/>
  <c r="AG27" i="4"/>
  <c r="AK27" i="4"/>
  <c r="AJ27" i="4"/>
  <c r="AI27" i="4"/>
  <c r="AQ27" i="4"/>
  <c r="AH27" i="4"/>
  <c r="AQ49" i="4"/>
  <c r="AI49" i="4"/>
  <c r="AG49" i="4"/>
  <c r="AJ49" i="4"/>
  <c r="AK49" i="4"/>
  <c r="AH49" i="4"/>
  <c r="AK46" i="4"/>
  <c r="AH46" i="4"/>
  <c r="AG46" i="4"/>
  <c r="AQ46" i="4"/>
  <c r="AI46" i="4"/>
  <c r="AJ46" i="4"/>
  <c r="AG38" i="4"/>
  <c r="AK56" i="4"/>
  <c r="AJ56" i="4"/>
  <c r="AQ56" i="4"/>
  <c r="AI56" i="4"/>
  <c r="AG56" i="4"/>
  <c r="AH56" i="4"/>
  <c r="AQ38" i="4"/>
  <c r="AO33" i="4" l="1"/>
  <c r="AL33" i="4" s="1"/>
  <c r="AH53" i="4"/>
  <c r="AO38" i="4"/>
  <c r="AL38" i="4" s="1"/>
  <c r="AO44" i="4"/>
  <c r="AL44" i="4" s="1"/>
  <c r="AO56" i="4"/>
  <c r="AL56" i="4" s="1"/>
  <c r="AK53" i="4"/>
  <c r="AO40" i="4"/>
  <c r="AL40" i="4" s="1"/>
  <c r="AI41" i="4"/>
  <c r="AI23" i="4"/>
  <c r="AO46" i="4"/>
  <c r="AL46" i="4" s="1"/>
  <c r="AO45" i="4"/>
  <c r="AL45" i="4" s="1"/>
  <c r="AO26" i="4"/>
  <c r="AL26" i="4" s="1"/>
  <c r="AO27" i="4"/>
  <c r="AL27" i="4" s="1"/>
  <c r="AO39" i="4"/>
  <c r="AL39" i="4" s="1"/>
  <c r="AM16" i="4"/>
  <c r="AK29" i="4"/>
  <c r="AH41" i="4"/>
  <c r="AO34" i="4"/>
  <c r="AL34" i="4" s="1"/>
  <c r="AO22" i="4"/>
  <c r="AM20" i="4"/>
  <c r="AJ23" i="4"/>
  <c r="AM19" i="4"/>
  <c r="AJ17" i="4"/>
  <c r="AM13" i="4"/>
  <c r="AM52" i="4"/>
  <c r="AO13" i="4"/>
  <c r="AG17" i="4"/>
  <c r="AG47" i="4"/>
  <c r="AO43" i="4"/>
  <c r="AL43" i="4" s="1"/>
  <c r="AO51" i="4"/>
  <c r="AK41" i="4"/>
  <c r="AM28" i="4"/>
  <c r="AH35" i="4"/>
  <c r="AH17" i="4"/>
  <c r="AH59" i="4"/>
  <c r="AM39" i="4"/>
  <c r="AH23" i="4"/>
  <c r="AO55" i="4"/>
  <c r="AL55" i="4" s="1"/>
  <c r="AG59" i="4"/>
  <c r="AM56" i="4"/>
  <c r="AM46" i="4"/>
  <c r="AO49" i="4"/>
  <c r="AL49" i="4" s="1"/>
  <c r="AG53" i="4"/>
  <c r="AM27" i="4"/>
  <c r="AO21" i="4"/>
  <c r="AL21" i="4" s="1"/>
  <c r="AM25" i="4"/>
  <c r="AJ29" i="4"/>
  <c r="AM22" i="4"/>
  <c r="AO32" i="4"/>
  <c r="AL32" i="4" s="1"/>
  <c r="Y48" i="4" s="1"/>
  <c r="AO50" i="4"/>
  <c r="AL50" i="4" s="1"/>
  <c r="AK35" i="4"/>
  <c r="AK23" i="4"/>
  <c r="AI17" i="4"/>
  <c r="AI59" i="4"/>
  <c r="AI47" i="4"/>
  <c r="AK47" i="4"/>
  <c r="AG29" i="4"/>
  <c r="AO25" i="4"/>
  <c r="AL25" i="4" s="1"/>
  <c r="AM34" i="4"/>
  <c r="AO20" i="4"/>
  <c r="AM14" i="4"/>
  <c r="AG35" i="4"/>
  <c r="AO31" i="4"/>
  <c r="AL31" i="4" s="1"/>
  <c r="AO15" i="4"/>
  <c r="AL15" i="4" s="1"/>
  <c r="AO52" i="4"/>
  <c r="AL52" i="4" s="1"/>
  <c r="AM26" i="4"/>
  <c r="AJ53" i="4"/>
  <c r="AM49" i="4"/>
  <c r="AI53" i="4"/>
  <c r="AH47" i="4"/>
  <c r="AM51" i="4"/>
  <c r="AJ41" i="4"/>
  <c r="AM37" i="4"/>
  <c r="AM58" i="4"/>
  <c r="AM31" i="4"/>
  <c r="AJ35" i="4"/>
  <c r="AM44" i="4"/>
  <c r="AK17" i="4"/>
  <c r="AJ59" i="4"/>
  <c r="AM55" i="4"/>
  <c r="AO37" i="4"/>
  <c r="AL37" i="4" s="1"/>
  <c r="AG41" i="4"/>
  <c r="AM45" i="4"/>
  <c r="AH29" i="4"/>
  <c r="AM57" i="4"/>
  <c r="V68" i="4"/>
  <c r="V46" i="4"/>
  <c r="V86" i="4"/>
  <c r="V76" i="4"/>
  <c r="V65" i="4"/>
  <c r="V57" i="4"/>
  <c r="V70" i="4"/>
  <c r="V52" i="4"/>
  <c r="V47" i="4"/>
  <c r="V81" i="4"/>
  <c r="V67" i="4"/>
  <c r="V54" i="4"/>
  <c r="V75" i="4"/>
  <c r="V64" i="4"/>
  <c r="V69" i="4"/>
  <c r="V55" i="4"/>
  <c r="V50" i="4"/>
  <c r="V45" i="4"/>
  <c r="V36" i="4"/>
  <c r="V90" i="4"/>
  <c r="V74" i="4"/>
  <c r="V63" i="4"/>
  <c r="V59" i="4"/>
  <c r="V56" i="4"/>
  <c r="V51" i="4"/>
  <c r="V53" i="4"/>
  <c r="V43" i="4"/>
  <c r="V37" i="4"/>
  <c r="V31" i="4"/>
  <c r="V77" i="4"/>
  <c r="V49" i="4"/>
  <c r="V44" i="4"/>
  <c r="V40" i="4"/>
  <c r="V33" i="4"/>
  <c r="V25" i="4"/>
  <c r="V23" i="4"/>
  <c r="V66" i="4"/>
  <c r="V48" i="4"/>
  <c r="V41" i="4"/>
  <c r="V82" i="4"/>
  <c r="V42" i="4"/>
  <c r="V30" i="4"/>
  <c r="V39" i="4"/>
  <c r="V29" i="4"/>
  <c r="V18" i="4"/>
  <c r="V16" i="4"/>
  <c r="V38" i="4"/>
  <c r="V32" i="4"/>
  <c r="V19" i="4"/>
  <c r="V17" i="4"/>
  <c r="V13" i="4"/>
  <c r="V58" i="4"/>
  <c r="V27" i="4"/>
  <c r="V21" i="4"/>
  <c r="V14" i="4"/>
  <c r="V24" i="4"/>
  <c r="V12" i="4"/>
  <c r="V34" i="4"/>
  <c r="V15" i="4"/>
  <c r="V28" i="4"/>
  <c r="V20" i="4"/>
  <c r="V26" i="4"/>
  <c r="V35" i="4"/>
  <c r="V22" i="4"/>
  <c r="AO28" i="4"/>
  <c r="AL28" i="4" s="1"/>
  <c r="AM50" i="4"/>
  <c r="AG23" i="4"/>
  <c r="AO19" i="4"/>
  <c r="AL19" i="4" s="1"/>
  <c r="AJ47" i="4"/>
  <c r="AM43" i="4"/>
  <c r="AM21" i="4"/>
  <c r="AI29" i="4"/>
  <c r="AO57" i="4"/>
  <c r="AM40" i="4"/>
  <c r="AO58" i="4"/>
  <c r="AL58" i="4" s="1"/>
  <c r="AM32" i="4"/>
  <c r="AO14" i="4"/>
  <c r="AO16" i="4"/>
  <c r="AI35" i="4"/>
  <c r="AM15" i="4"/>
  <c r="AK59" i="4"/>
  <c r="Y20" i="4" l="1"/>
  <c r="Y55" i="4"/>
  <c r="Z55" i="4" s="1"/>
  <c r="Y21" i="4"/>
  <c r="Y18" i="4"/>
  <c r="Z18" i="4" s="1"/>
  <c r="Y53" i="4"/>
  <c r="AA53" i="4" s="1"/>
  <c r="Y22" i="4"/>
  <c r="Y39" i="4"/>
  <c r="Y17" i="4"/>
  <c r="Y54" i="4"/>
  <c r="Y36" i="4"/>
  <c r="Y50" i="4"/>
  <c r="Y33" i="4"/>
  <c r="Y40" i="4"/>
  <c r="Y59" i="4"/>
  <c r="AA21" i="4"/>
  <c r="Z21" i="4"/>
  <c r="Y35" i="4"/>
  <c r="Y16" i="4"/>
  <c r="Y51" i="4"/>
  <c r="Y34" i="4"/>
  <c r="Y19" i="4"/>
  <c r="Y32" i="4"/>
  <c r="Y49" i="4"/>
  <c r="Z20" i="4"/>
  <c r="AA20" i="4"/>
  <c r="AA55" i="4"/>
  <c r="Y57" i="4"/>
  <c r="Y41" i="4"/>
  <c r="Z48" i="4"/>
  <c r="AA48" i="4"/>
  <c r="Y52" i="4"/>
  <c r="Y38" i="4"/>
  <c r="Y26" i="4"/>
  <c r="Y31" i="4"/>
  <c r="Y27" i="4"/>
  <c r="Y23" i="4"/>
  <c r="Y37" i="4"/>
  <c r="AL48" i="4"/>
  <c r="AL47" i="4" s="1"/>
  <c r="AL42" i="4"/>
  <c r="AL41" i="4" s="1"/>
  <c r="AL30" i="4"/>
  <c r="AL29" i="4" s="1"/>
  <c r="AO35" i="4"/>
  <c r="AL36" i="4"/>
  <c r="AL35" i="4" s="1"/>
  <c r="AM42" i="4"/>
  <c r="AM24" i="4"/>
  <c r="AM23" i="4" s="1"/>
  <c r="AN20" i="4" s="1"/>
  <c r="AL16" i="4"/>
  <c r="AM60" i="4"/>
  <c r="AM59" i="4" s="1"/>
  <c r="AM18" i="4"/>
  <c r="AM17" i="4" s="1"/>
  <c r="AO41" i="4"/>
  <c r="AM36" i="4"/>
  <c r="AM30" i="4"/>
  <c r="AM29" i="4" s="1"/>
  <c r="AO23" i="4"/>
  <c r="AL14" i="4"/>
  <c r="AO53" i="4"/>
  <c r="AO59" i="4"/>
  <c r="AO47" i="4"/>
  <c r="AM48" i="4"/>
  <c r="AM47" i="4" s="1"/>
  <c r="AM54" i="4"/>
  <c r="AM53" i="4" s="1"/>
  <c r="AL22" i="4"/>
  <c r="Y15" i="4" s="1"/>
  <c r="AO17" i="4"/>
  <c r="AO29" i="4"/>
  <c r="AL57" i="4"/>
  <c r="Y56" i="4" s="1"/>
  <c r="AL51" i="4"/>
  <c r="Y58" i="4" s="1"/>
  <c r="AL13" i="4"/>
  <c r="Y44" i="4" s="1"/>
  <c r="AL20" i="4"/>
  <c r="Y47" i="4" s="1"/>
  <c r="AA18" i="4" l="1"/>
  <c r="Z53" i="4"/>
  <c r="Y14" i="4"/>
  <c r="AA44" i="4"/>
  <c r="Z44" i="4"/>
  <c r="AA15" i="4"/>
  <c r="Z15" i="4"/>
  <c r="Z56" i="4"/>
  <c r="AA56" i="4"/>
  <c r="Z58" i="4"/>
  <c r="AA58" i="4"/>
  <c r="Z49" i="4"/>
  <c r="AA49" i="4"/>
  <c r="AA33" i="4"/>
  <c r="Z33" i="4"/>
  <c r="AA47" i="4"/>
  <c r="Z47" i="4"/>
  <c r="AA31" i="4"/>
  <c r="Z31" i="4"/>
  <c r="Z32" i="4"/>
  <c r="AA32" i="4"/>
  <c r="Z16" i="4"/>
  <c r="AA16" i="4"/>
  <c r="AA50" i="4"/>
  <c r="Z50" i="4"/>
  <c r="AA51" i="4"/>
  <c r="Z51" i="4"/>
  <c r="Y43" i="4"/>
  <c r="Z41" i="4"/>
  <c r="AA41" i="4"/>
  <c r="Z35" i="4"/>
  <c r="AA35" i="4"/>
  <c r="Z36" i="4"/>
  <c r="AA36" i="4"/>
  <c r="Z57" i="4"/>
  <c r="AA57" i="4"/>
  <c r="Z34" i="4"/>
  <c r="AA34" i="4"/>
  <c r="Z17" i="4"/>
  <c r="AA17" i="4"/>
  <c r="Z54" i="4"/>
  <c r="AA54" i="4"/>
  <c r="Y12" i="4"/>
  <c r="Y29" i="4"/>
  <c r="Z23" i="4"/>
  <c r="AA23" i="4"/>
  <c r="Z39" i="4"/>
  <c r="AA39" i="4"/>
  <c r="AL54" i="4"/>
  <c r="AL53" i="4" s="1"/>
  <c r="Y24" i="4"/>
  <c r="AA19" i="4"/>
  <c r="Z19" i="4"/>
  <c r="AL60" i="4"/>
  <c r="AL59" i="4" s="1"/>
  <c r="Y25" i="4"/>
  <c r="Y30" i="4"/>
  <c r="Y45" i="4"/>
  <c r="Y42" i="4"/>
  <c r="AA38" i="4"/>
  <c r="Z38" i="4"/>
  <c r="AA59" i="4"/>
  <c r="Z59" i="4"/>
  <c r="AA22" i="4"/>
  <c r="Z22" i="4"/>
  <c r="Z14" i="4"/>
  <c r="AA14" i="4"/>
  <c r="Z26" i="4"/>
  <c r="AA26" i="4"/>
  <c r="Z37" i="4"/>
  <c r="AA37" i="4"/>
  <c r="Y28" i="4"/>
  <c r="Y46" i="4"/>
  <c r="AA27" i="4"/>
  <c r="Z27" i="4"/>
  <c r="AA52" i="4"/>
  <c r="Z52" i="4"/>
  <c r="AA40" i="4"/>
  <c r="Z40" i="4"/>
  <c r="Y13" i="4"/>
  <c r="AA13" i="4" s="1"/>
  <c r="AN22" i="4"/>
  <c r="AN21" i="4"/>
  <c r="AN25" i="4"/>
  <c r="AL24" i="4"/>
  <c r="AL23" i="4" s="1"/>
  <c r="AN26" i="4"/>
  <c r="AL18" i="4"/>
  <c r="AL17" i="4" s="1"/>
  <c r="AN58" i="4"/>
  <c r="AN27" i="4"/>
  <c r="AN57" i="4"/>
  <c r="AN16" i="4"/>
  <c r="AN51" i="4"/>
  <c r="AN28" i="4"/>
  <c r="AN13" i="4"/>
  <c r="AN52" i="4"/>
  <c r="AM35" i="4"/>
  <c r="AN33" i="4" s="1"/>
  <c r="AN50" i="4"/>
  <c r="AN55" i="4"/>
  <c r="AN46" i="4"/>
  <c r="AN56" i="4"/>
  <c r="AN45" i="4"/>
  <c r="AM41" i="4"/>
  <c r="AN40" i="4" s="1"/>
  <c r="AN44" i="4"/>
  <c r="AN14" i="4"/>
  <c r="AN15" i="4"/>
  <c r="AN49" i="4"/>
  <c r="AN43" i="4"/>
  <c r="AN19" i="4"/>
  <c r="AW16" i="4" l="1"/>
  <c r="AU37" i="4"/>
  <c r="AU46" i="4"/>
  <c r="AW25" i="4"/>
  <c r="AW33" i="4"/>
  <c r="AV44" i="4"/>
  <c r="AT52" i="4"/>
  <c r="AT26" i="4"/>
  <c r="AU39" i="4"/>
  <c r="AU26" i="4"/>
  <c r="AV52" i="4"/>
  <c r="AW40" i="4"/>
  <c r="AW31" i="4"/>
  <c r="AU52" i="4"/>
  <c r="AT45" i="4"/>
  <c r="AW55" i="4"/>
  <c r="AW15" i="4"/>
  <c r="AV39" i="4"/>
  <c r="AU16" i="4"/>
  <c r="AW43" i="4"/>
  <c r="AT46" i="4"/>
  <c r="AW20" i="4"/>
  <c r="AV13" i="4"/>
  <c r="AT13" i="4"/>
  <c r="AW39" i="4"/>
  <c r="AV19" i="4"/>
  <c r="AU21" i="4"/>
  <c r="AV25" i="4"/>
  <c r="AU32" i="4"/>
  <c r="AT55" i="4"/>
  <c r="AV38" i="4"/>
  <c r="AT49" i="4"/>
  <c r="AT57" i="4"/>
  <c r="AV15" i="4"/>
  <c r="AT38" i="4"/>
  <c r="AU22" i="4"/>
  <c r="AT44" i="4"/>
  <c r="AW45" i="4"/>
  <c r="AV22" i="4"/>
  <c r="AW26" i="4"/>
  <c r="AV51" i="4"/>
  <c r="AV40" i="4"/>
  <c r="AT31" i="4"/>
  <c r="AT39" i="4"/>
  <c r="AW27" i="4"/>
  <c r="Z12" i="4"/>
  <c r="AA24" i="4"/>
  <c r="Z24" i="4"/>
  <c r="AU43" i="4"/>
  <c r="AV34" i="4"/>
  <c r="AW52" i="4"/>
  <c r="AT27" i="4"/>
  <c r="AT58" i="4"/>
  <c r="AU19" i="4"/>
  <c r="AV58" i="4"/>
  <c r="AU38" i="4"/>
  <c r="AU13" i="4"/>
  <c r="AU50" i="4"/>
  <c r="AT40" i="4"/>
  <c r="AW44" i="4"/>
  <c r="AU33" i="4"/>
  <c r="AT43" i="4"/>
  <c r="AA12" i="4"/>
  <c r="Z42" i="4"/>
  <c r="AA42" i="4"/>
  <c r="AU55" i="4"/>
  <c r="AU15" i="4"/>
  <c r="AT32" i="4"/>
  <c r="AW34" i="4"/>
  <c r="AU25" i="4"/>
  <c r="AV32" i="4"/>
  <c r="AV55" i="4"/>
  <c r="AV46" i="4"/>
  <c r="AT14" i="4"/>
  <c r="AT33" i="4"/>
  <c r="AV56" i="4"/>
  <c r="AW22" i="4"/>
  <c r="AU51" i="4"/>
  <c r="AT34" i="4"/>
  <c r="AU34" i="4"/>
  <c r="AA46" i="4"/>
  <c r="Z46" i="4"/>
  <c r="AA30" i="4"/>
  <c r="Z30" i="4"/>
  <c r="AV49" i="4"/>
  <c r="AX49" i="4" s="1"/>
  <c r="AU28" i="4"/>
  <c r="AT28" i="4"/>
  <c r="AV57" i="4"/>
  <c r="AW28" i="4"/>
  <c r="AW21" i="4"/>
  <c r="AW49" i="4"/>
  <c r="AT50" i="4"/>
  <c r="AU27" i="4"/>
  <c r="AT56" i="4"/>
  <c r="AW58" i="4"/>
  <c r="AT25" i="4"/>
  <c r="AT20" i="4"/>
  <c r="AV16" i="4"/>
  <c r="AX16" i="4" s="1"/>
  <c r="AA28" i="4"/>
  <c r="Z28" i="4"/>
  <c r="AA25" i="4"/>
  <c r="Z25" i="4"/>
  <c r="Z45" i="4"/>
  <c r="AA45" i="4"/>
  <c r="AV20" i="4"/>
  <c r="AW46" i="4"/>
  <c r="AU40" i="4"/>
  <c r="AW50" i="4"/>
  <c r="AW14" i="4"/>
  <c r="AV27" i="4"/>
  <c r="AT16" i="4"/>
  <c r="AU45" i="4"/>
  <c r="AU49" i="4"/>
  <c r="AW32" i="4"/>
  <c r="AW56" i="4"/>
  <c r="AU56" i="4"/>
  <c r="AU44" i="4"/>
  <c r="AT22" i="4"/>
  <c r="AU20" i="4"/>
  <c r="AU58" i="4"/>
  <c r="AT15" i="4"/>
  <c r="AV21" i="4"/>
  <c r="AX21" i="4" s="1"/>
  <c r="AV14" i="4"/>
  <c r="AV28" i="4"/>
  <c r="AT37" i="4"/>
  <c r="AT41" i="4" s="1"/>
  <c r="AU31" i="4"/>
  <c r="AW37" i="4"/>
  <c r="AW57" i="4"/>
  <c r="AW38" i="4"/>
  <c r="AV45" i="4"/>
  <c r="AV43" i="4"/>
  <c r="AU14" i="4"/>
  <c r="AW51" i="4"/>
  <c r="AV33" i="4"/>
  <c r="AA29" i="4"/>
  <c r="Z29" i="4"/>
  <c r="AA43" i="4"/>
  <c r="Z43" i="4"/>
  <c r="AW19" i="4"/>
  <c r="AX19" i="4" s="1"/>
  <c r="AT21" i="4"/>
  <c r="AV26" i="4"/>
  <c r="AV37" i="4"/>
  <c r="AV50" i="4"/>
  <c r="AV31" i="4"/>
  <c r="AW13" i="4"/>
  <c r="AT51" i="4"/>
  <c r="AT19" i="4"/>
  <c r="AU57" i="4"/>
  <c r="Z13" i="4"/>
  <c r="AX40" i="4"/>
  <c r="AX25" i="4"/>
  <c r="AX52" i="4"/>
  <c r="AN34" i="4"/>
  <c r="AN38" i="4"/>
  <c r="AN39" i="4"/>
  <c r="AN37" i="4"/>
  <c r="AN32" i="4"/>
  <c r="AN31" i="4"/>
  <c r="AX55" i="4" l="1"/>
  <c r="AX33" i="4"/>
  <c r="AX44" i="4"/>
  <c r="AX20" i="4"/>
  <c r="AU23" i="4"/>
  <c r="AU29" i="4"/>
  <c r="AX38" i="4"/>
  <c r="AX46" i="4"/>
  <c r="AX39" i="4"/>
  <c r="AX15" i="4"/>
  <c r="AX34" i="4"/>
  <c r="AV17" i="4"/>
  <c r="AW29" i="4"/>
  <c r="AU17" i="4"/>
  <c r="AX28" i="4"/>
  <c r="AX51" i="4"/>
  <c r="AX50" i="4"/>
  <c r="AW41" i="4"/>
  <c r="AT17" i="4"/>
  <c r="AX32" i="4"/>
  <c r="AX22" i="4"/>
  <c r="AX27" i="4"/>
  <c r="AT59" i="4"/>
  <c r="AT47" i="4"/>
  <c r="AW35" i="4"/>
  <c r="AW17" i="4"/>
  <c r="AW53" i="4"/>
  <c r="AX56" i="4"/>
  <c r="AW47" i="4"/>
  <c r="AX45" i="4"/>
  <c r="AU53" i="4"/>
  <c r="AX14" i="4"/>
  <c r="AU47" i="4"/>
  <c r="AX57" i="4"/>
  <c r="AU41" i="4"/>
  <c r="AW59" i="4"/>
  <c r="AT35" i="4"/>
  <c r="AV59" i="4"/>
  <c r="AU35" i="4"/>
  <c r="AT29" i="4"/>
  <c r="AV29" i="4"/>
  <c r="AU59" i="4"/>
  <c r="AT23" i="4"/>
  <c r="AV47" i="4"/>
  <c r="AT53" i="4"/>
  <c r="AX43" i="4"/>
  <c r="AX58" i="4"/>
  <c r="AX37" i="4"/>
  <c r="AV23" i="4"/>
  <c r="AV35" i="4"/>
  <c r="AW23" i="4"/>
  <c r="AV41" i="4"/>
  <c r="AX26" i="4"/>
  <c r="AX13" i="4"/>
  <c r="AV53" i="4"/>
  <c r="AX31" i="4"/>
  <c r="AX41" i="4" l="1"/>
  <c r="AX23" i="4"/>
  <c r="AP20" i="4" s="1"/>
  <c r="AX29" i="4"/>
  <c r="AP28" i="4" s="1"/>
  <c r="AX53" i="4"/>
  <c r="AP49" i="4" s="1"/>
  <c r="AX47" i="4"/>
  <c r="AP44" i="4" s="1"/>
  <c r="AX59" i="4"/>
  <c r="AP57" i="4" s="1"/>
  <c r="AX17" i="4"/>
  <c r="AP15" i="4" s="1"/>
  <c r="AP22" i="4"/>
  <c r="AX35" i="4"/>
  <c r="AP31" i="4" s="1"/>
  <c r="AP39" i="4"/>
  <c r="AP19" i="4"/>
  <c r="AP21" i="4"/>
  <c r="AP50" i="4"/>
  <c r="AP40" i="4"/>
  <c r="AP37" i="4"/>
  <c r="AP38" i="4"/>
  <c r="AP52" i="4" l="1"/>
  <c r="AP51" i="4"/>
  <c r="AP27" i="4"/>
  <c r="AP26" i="4"/>
  <c r="AP25" i="4"/>
  <c r="AP55" i="4"/>
  <c r="AP58" i="4"/>
  <c r="AP56" i="4"/>
  <c r="AP13" i="4"/>
  <c r="AP14" i="4"/>
  <c r="AP16" i="4"/>
  <c r="AP45" i="4"/>
  <c r="AP43" i="4"/>
  <c r="AP46" i="4"/>
  <c r="AP33" i="4"/>
  <c r="AP32" i="4"/>
  <c r="AP34" i="4"/>
  <c r="AP23" i="4"/>
  <c r="AR20" i="4" s="1"/>
  <c r="AP41" i="4"/>
  <c r="AR39" i="4" s="1"/>
  <c r="AP53" i="4" l="1"/>
  <c r="AR51" i="4" s="1"/>
  <c r="AP29" i="4"/>
  <c r="AR25" i="4" s="1"/>
  <c r="AP17" i="4"/>
  <c r="AR14" i="4" s="1"/>
  <c r="AP47" i="4"/>
  <c r="AR43" i="4" s="1"/>
  <c r="AP59" i="4"/>
  <c r="AR56" i="4" s="1"/>
  <c r="AP35" i="4"/>
  <c r="AR34" i="4" s="1"/>
  <c r="AR22" i="4"/>
  <c r="AE22" i="4" s="1"/>
  <c r="AR21" i="4"/>
  <c r="AE21" i="4" s="1"/>
  <c r="AR19" i="4"/>
  <c r="AE19" i="4" s="1"/>
  <c r="AR26" i="4"/>
  <c r="AR52" i="4"/>
  <c r="AR49" i="4"/>
  <c r="AR50" i="4"/>
  <c r="AR58" i="4"/>
  <c r="AR28" i="4"/>
  <c r="AR27" i="4"/>
  <c r="AR38" i="4"/>
  <c r="AR40" i="4"/>
  <c r="AR37" i="4"/>
  <c r="AR15" i="4"/>
  <c r="AE20" i="4"/>
  <c r="AR55" i="4" l="1"/>
  <c r="AR16" i="4"/>
  <c r="AR13" i="4"/>
  <c r="AR46" i="4"/>
  <c r="AR44" i="4"/>
  <c r="AR45" i="4"/>
  <c r="AR57" i="4"/>
  <c r="AE57" i="4" s="1"/>
  <c r="AR33" i="4"/>
  <c r="AR31" i="4"/>
  <c r="AR32" i="4"/>
  <c r="AE50" i="4"/>
  <c r="AE28" i="4"/>
  <c r="AE51" i="4"/>
  <c r="AE52" i="4"/>
  <c r="AE49" i="4"/>
  <c r="S50" i="4" s="1"/>
  <c r="AE27" i="4"/>
  <c r="AE25" i="4"/>
  <c r="AE26" i="4"/>
  <c r="R22" i="4"/>
  <c r="AE14" i="4"/>
  <c r="AE37" i="4"/>
  <c r="AE40" i="4"/>
  <c r="P21" i="4"/>
  <c r="AE39" i="4"/>
  <c r="AE38" i="4"/>
  <c r="P23" i="4"/>
  <c r="Q20" i="4"/>
  <c r="N21" i="4"/>
  <c r="AS20" i="4" s="1"/>
  <c r="BD16" i="4" s="1"/>
  <c r="Q21" i="4"/>
  <c r="S21" i="4"/>
  <c r="N23" i="4"/>
  <c r="Q23" i="4"/>
  <c r="N20" i="4"/>
  <c r="AS19" i="4" s="1"/>
  <c r="BD31" i="4" s="1"/>
  <c r="W65" i="4" s="1"/>
  <c r="X65" i="4" s="1"/>
  <c r="BK33" i="4" s="1"/>
  <c r="P20" i="4"/>
  <c r="S20" i="4"/>
  <c r="R20" i="4"/>
  <c r="P22" i="4"/>
  <c r="R23" i="4"/>
  <c r="S23" i="4"/>
  <c r="R21" i="4"/>
  <c r="Q22" i="4"/>
  <c r="S22" i="4"/>
  <c r="N22" i="4"/>
  <c r="AE46" i="4" l="1"/>
  <c r="AE13" i="4"/>
  <c r="S15" i="4" s="1"/>
  <c r="AE55" i="4"/>
  <c r="AE56" i="4"/>
  <c r="S58" i="4" s="1"/>
  <c r="AE58" i="4"/>
  <c r="N26" i="4"/>
  <c r="AS25" i="4" s="1"/>
  <c r="BD19" i="4" s="1"/>
  <c r="W64" i="4" s="1"/>
  <c r="X64" i="4" s="1"/>
  <c r="BK18" i="4" s="1"/>
  <c r="W74" i="4" s="1"/>
  <c r="X74" i="4" s="1"/>
  <c r="BR21" i="4" s="1"/>
  <c r="W81" i="4" s="1"/>
  <c r="X81" i="4" s="1"/>
  <c r="BY28" i="4" s="1"/>
  <c r="W90" i="4" s="1"/>
  <c r="BV46" i="4" s="1"/>
  <c r="Q50" i="4"/>
  <c r="N51" i="4"/>
  <c r="AS50" i="4" s="1"/>
  <c r="BD44" i="4" s="1"/>
  <c r="N50" i="4"/>
  <c r="AS49" i="4" s="1"/>
  <c r="BD27" i="4" s="1"/>
  <c r="W68" i="4" s="1"/>
  <c r="X68" i="4" s="1"/>
  <c r="BK26" i="4" s="1"/>
  <c r="S52" i="4"/>
  <c r="AE33" i="4"/>
  <c r="P52" i="4"/>
  <c r="R51" i="4"/>
  <c r="N52" i="4"/>
  <c r="AE44" i="4"/>
  <c r="R52" i="4"/>
  <c r="AE16" i="4"/>
  <c r="AE15" i="4"/>
  <c r="P17" i="4" s="1"/>
  <c r="AE43" i="4"/>
  <c r="AE45" i="4"/>
  <c r="Q51" i="4"/>
  <c r="R59" i="4"/>
  <c r="AE31" i="4"/>
  <c r="AE34" i="4"/>
  <c r="P51" i="4"/>
  <c r="AE32" i="4"/>
  <c r="S51" i="4"/>
  <c r="Q52" i="4"/>
  <c r="T52" i="4" s="1"/>
  <c r="R50" i="4"/>
  <c r="P50" i="4"/>
  <c r="S38" i="4"/>
  <c r="P53" i="4"/>
  <c r="N53" i="4"/>
  <c r="S53" i="4"/>
  <c r="R53" i="4"/>
  <c r="Q53" i="4"/>
  <c r="P26" i="4"/>
  <c r="R26" i="4"/>
  <c r="N29" i="4"/>
  <c r="Q26" i="4"/>
  <c r="S26" i="4"/>
  <c r="S27" i="4"/>
  <c r="S29" i="4"/>
  <c r="N28" i="4"/>
  <c r="P29" i="4"/>
  <c r="Q29" i="4"/>
  <c r="R28" i="4"/>
  <c r="P28" i="4"/>
  <c r="Q28" i="4"/>
  <c r="S28" i="4"/>
  <c r="N27" i="4"/>
  <c r="AS26" i="4" s="1"/>
  <c r="BD36" i="4" s="1"/>
  <c r="Q27" i="4"/>
  <c r="R27" i="4"/>
  <c r="P27" i="4"/>
  <c r="R29" i="4"/>
  <c r="P39" i="4"/>
  <c r="N59" i="4"/>
  <c r="P59" i="4"/>
  <c r="N38" i="4"/>
  <c r="AS37" i="4" s="1"/>
  <c r="BD23" i="4" s="1"/>
  <c r="W67" i="4" s="1"/>
  <c r="X67" i="4" s="1"/>
  <c r="BK25" i="4" s="1"/>
  <c r="W75" i="4" s="1"/>
  <c r="X75" i="4" s="1"/>
  <c r="BR22" i="4" s="1"/>
  <c r="Y81" i="4" s="1"/>
  <c r="AD81" i="4" s="1"/>
  <c r="BY40" i="4" s="1"/>
  <c r="Q38" i="4"/>
  <c r="P41" i="4"/>
  <c r="P38" i="4"/>
  <c r="S41" i="4"/>
  <c r="R38" i="4"/>
  <c r="Q41" i="4"/>
  <c r="N40" i="4"/>
  <c r="N41" i="4"/>
  <c r="Q39" i="4"/>
  <c r="N39" i="4"/>
  <c r="AS38" i="4" s="1"/>
  <c r="BD40" i="4" s="1"/>
  <c r="N15" i="4"/>
  <c r="AS14" i="4" s="1"/>
  <c r="BD32" i="4" s="1"/>
  <c r="Q40" i="4"/>
  <c r="R39" i="4"/>
  <c r="S39" i="4"/>
  <c r="O21" i="4"/>
  <c r="T21" i="4"/>
  <c r="O20" i="4"/>
  <c r="T20" i="4"/>
  <c r="R41" i="4"/>
  <c r="P40" i="4"/>
  <c r="S40" i="4"/>
  <c r="O23" i="4"/>
  <c r="T23" i="4"/>
  <c r="R15" i="4"/>
  <c r="T22" i="4"/>
  <c r="O22" i="4"/>
  <c r="R40" i="4"/>
  <c r="S17" i="4" l="1"/>
  <c r="Q15" i="4"/>
  <c r="R17" i="4"/>
  <c r="N57" i="4"/>
  <c r="AS56" i="4" s="1"/>
  <c r="BD28" i="4" s="1"/>
  <c r="N58" i="4"/>
  <c r="P15" i="4"/>
  <c r="Q17" i="4"/>
  <c r="N17" i="4"/>
  <c r="R57" i="4"/>
  <c r="P56" i="4"/>
  <c r="S57" i="4"/>
  <c r="Q58" i="4"/>
  <c r="T58" i="4" s="1"/>
  <c r="R56" i="4"/>
  <c r="Q59" i="4"/>
  <c r="Q57" i="4"/>
  <c r="N56" i="4"/>
  <c r="AS55" i="4" s="1"/>
  <c r="BD43" i="4" s="1"/>
  <c r="W70" i="4" s="1"/>
  <c r="X70" i="4" s="1"/>
  <c r="BK42" i="4" s="1"/>
  <c r="S59" i="4"/>
  <c r="R58" i="4"/>
  <c r="P57" i="4"/>
  <c r="S56" i="4"/>
  <c r="P58" i="4"/>
  <c r="Q56" i="4"/>
  <c r="N47" i="4"/>
  <c r="O52" i="4"/>
  <c r="X90" i="4"/>
  <c r="T51" i="4"/>
  <c r="O51" i="4"/>
  <c r="P32" i="4"/>
  <c r="Q47" i="4"/>
  <c r="N46" i="4"/>
  <c r="P44" i="4"/>
  <c r="R46" i="4"/>
  <c r="N44" i="4"/>
  <c r="AS43" i="4" s="1"/>
  <c r="BD39" i="4" s="1"/>
  <c r="W69" i="4" s="1"/>
  <c r="X69" i="4" s="1"/>
  <c r="BK41" i="4" s="1"/>
  <c r="W77" i="4" s="1"/>
  <c r="X77" i="4" s="1"/>
  <c r="BR38" i="4" s="1"/>
  <c r="Y82" i="4" s="1"/>
  <c r="AD82" i="4" s="1"/>
  <c r="BY41" i="4" s="1"/>
  <c r="BV54" i="4" s="1"/>
  <c r="Q14" i="4"/>
  <c r="S44" i="4"/>
  <c r="R44" i="4"/>
  <c r="O50" i="4"/>
  <c r="Q45" i="4"/>
  <c r="S45" i="4"/>
  <c r="P45" i="4"/>
  <c r="R47" i="4"/>
  <c r="Q44" i="4"/>
  <c r="S35" i="4"/>
  <c r="P16" i="4"/>
  <c r="N35" i="4"/>
  <c r="N16" i="4"/>
  <c r="N14" i="4"/>
  <c r="AS13" i="4" s="1"/>
  <c r="BD15" i="4" s="1"/>
  <c r="W63" i="4" s="1"/>
  <c r="X63" i="4" s="1"/>
  <c r="BK17" i="4" s="1"/>
  <c r="P14" i="4"/>
  <c r="S33" i="4"/>
  <c r="Q32" i="4"/>
  <c r="S14" i="4"/>
  <c r="N45" i="4"/>
  <c r="AS44" i="4" s="1"/>
  <c r="BD24" i="4" s="1"/>
  <c r="R14" i="4"/>
  <c r="Q33" i="4"/>
  <c r="Q16" i="4"/>
  <c r="P47" i="4"/>
  <c r="Q46" i="4"/>
  <c r="S16" i="4"/>
  <c r="R16" i="4"/>
  <c r="S46" i="4"/>
  <c r="P46" i="4"/>
  <c r="R33" i="4"/>
  <c r="N33" i="4"/>
  <c r="AS32" i="4" s="1"/>
  <c r="BD20" i="4" s="1"/>
  <c r="T53" i="4"/>
  <c r="S47" i="4"/>
  <c r="R45" i="4"/>
  <c r="N34" i="4"/>
  <c r="N32" i="4"/>
  <c r="AS31" i="4" s="1"/>
  <c r="BD35" i="4" s="1"/>
  <c r="W66" i="4" s="1"/>
  <c r="X66" i="4" s="1"/>
  <c r="BK34" i="4" s="1"/>
  <c r="W76" i="4" s="1"/>
  <c r="X76" i="4" s="1"/>
  <c r="BR37" i="4" s="1"/>
  <c r="W82" i="4" s="1"/>
  <c r="X82" i="4" s="1"/>
  <c r="BY29" i="4" s="1"/>
  <c r="BV49" i="4" s="1"/>
  <c r="P35" i="4"/>
  <c r="P34" i="4"/>
  <c r="Q35" i="4"/>
  <c r="S34" i="4"/>
  <c r="R32" i="4"/>
  <c r="S32" i="4"/>
  <c r="R34" i="4"/>
  <c r="R35" i="4"/>
  <c r="P33" i="4"/>
  <c r="T50" i="4"/>
  <c r="Q34" i="4"/>
  <c r="O53" i="4"/>
  <c r="T28" i="4"/>
  <c r="O26" i="4"/>
  <c r="T26" i="4"/>
  <c r="BV52" i="4"/>
  <c r="X86" i="4"/>
  <c r="T29" i="4"/>
  <c r="T27" i="4"/>
  <c r="O28" i="4"/>
  <c r="O29" i="4"/>
  <c r="T39" i="4"/>
  <c r="T41" i="4"/>
  <c r="O27" i="4"/>
  <c r="O38" i="4"/>
  <c r="T59" i="4"/>
  <c r="O59" i="4"/>
  <c r="T57" i="4"/>
  <c r="O57" i="4"/>
  <c r="O41" i="4"/>
  <c r="O39" i="4"/>
  <c r="T38" i="4"/>
  <c r="O40" i="4"/>
  <c r="T40" i="4"/>
  <c r="O15" i="4"/>
  <c r="T17" i="4"/>
  <c r="O17" i="4"/>
  <c r="T15" i="4" l="1"/>
  <c r="T56" i="4"/>
  <c r="O58" i="4"/>
  <c r="O56" i="4"/>
  <c r="T16" i="4"/>
  <c r="T32" i="4"/>
  <c r="T33" i="4"/>
  <c r="T47" i="4"/>
  <c r="O47" i="4"/>
  <c r="T44" i="4"/>
  <c r="T14" i="4"/>
  <c r="O16" i="4"/>
  <c r="T46" i="4"/>
  <c r="O14" i="4"/>
  <c r="O46" i="4"/>
  <c r="O44" i="4"/>
  <c r="O33" i="4"/>
  <c r="T45" i="4"/>
  <c r="O45" i="4"/>
  <c r="O34" i="4"/>
  <c r="O32" i="4"/>
  <c r="T34" i="4"/>
  <c r="T35" i="4"/>
  <c r="O35" i="4"/>
</calcChain>
</file>

<file path=xl/sharedStrings.xml><?xml version="1.0" encoding="utf-8"?>
<sst xmlns="http://schemas.openxmlformats.org/spreadsheetml/2006/main" count="629" uniqueCount="238">
  <si>
    <t>English</t>
  </si>
  <si>
    <t>2022 World Cup Final Tournament Schedule</t>
  </si>
  <si>
    <t>Group Stage</t>
  </si>
  <si>
    <t>Round of 16</t>
  </si>
  <si>
    <t>Quarterfinals</t>
  </si>
  <si>
    <t>Semi-Finals</t>
  </si>
  <si>
    <t>Third-Place Play-Off</t>
  </si>
  <si>
    <t>Final</t>
  </si>
  <si>
    <t>Group</t>
  </si>
  <si>
    <t>PL</t>
  </si>
  <si>
    <t>W</t>
  </si>
  <si>
    <t>DRAW</t>
  </si>
  <si>
    <t>L</t>
  </si>
  <si>
    <t>GF - GA</t>
  </si>
  <si>
    <t>PNT</t>
  </si>
  <si>
    <t>Sun</t>
  </si>
  <si>
    <t>Mon</t>
  </si>
  <si>
    <t>Tue</t>
  </si>
  <si>
    <t>Wed</t>
  </si>
  <si>
    <t>Thu</t>
  </si>
  <si>
    <t>Fri</t>
  </si>
  <si>
    <t>Sat</t>
  </si>
  <si>
    <t>Jan</t>
  </si>
  <si>
    <t>Feb</t>
  </si>
  <si>
    <t>Mar</t>
  </si>
  <si>
    <t>Apr</t>
  </si>
  <si>
    <t>May</t>
  </si>
  <si>
    <t>Jun</t>
  </si>
  <si>
    <t>Jul</t>
  </si>
  <si>
    <t>Aug</t>
  </si>
  <si>
    <t>Sep</t>
  </si>
  <si>
    <t>Oct</t>
  </si>
  <si>
    <t>Nov</t>
  </si>
  <si>
    <t>Dec</t>
  </si>
  <si>
    <t>Team</t>
  </si>
  <si>
    <t>Senegal</t>
  </si>
  <si>
    <t>Qatar</t>
  </si>
  <si>
    <t>Ecuador</t>
  </si>
  <si>
    <t>Netherlands</t>
  </si>
  <si>
    <t>England</t>
  </si>
  <si>
    <t>Iran</t>
  </si>
  <si>
    <t>United States</t>
  </si>
  <si>
    <t>Wales</t>
  </si>
  <si>
    <t>Argentina</t>
  </si>
  <si>
    <t>Saudi Arabia</t>
  </si>
  <si>
    <t>Mexico</t>
  </si>
  <si>
    <t>Poland</t>
  </si>
  <si>
    <t>France</t>
  </si>
  <si>
    <t>Australia</t>
  </si>
  <si>
    <t>Denmark</t>
  </si>
  <si>
    <t>Tunisia</t>
  </si>
  <si>
    <t>Spain</t>
  </si>
  <si>
    <t>Costa Rica</t>
  </si>
  <si>
    <t>Germany</t>
  </si>
  <si>
    <t>Japan</t>
  </si>
  <si>
    <t>Belgium</t>
  </si>
  <si>
    <t>Canada</t>
  </si>
  <si>
    <t>Morocco</t>
  </si>
  <si>
    <t>Croatia</t>
  </si>
  <si>
    <t>Brazil</t>
  </si>
  <si>
    <t>Serbia</t>
  </si>
  <si>
    <t>Switzerland</t>
  </si>
  <si>
    <t>Cameroon</t>
  </si>
  <si>
    <t>Portugal</t>
  </si>
  <si>
    <t>Ghana</t>
  </si>
  <si>
    <t>Uruguay</t>
  </si>
  <si>
    <t>Korea Republic</t>
  </si>
  <si>
    <t>1A</t>
  </si>
  <si>
    <t>2A</t>
  </si>
  <si>
    <t>1B</t>
  </si>
  <si>
    <t>2B</t>
  </si>
  <si>
    <t>1C</t>
  </si>
  <si>
    <t>2C</t>
  </si>
  <si>
    <t>1D</t>
  </si>
  <si>
    <t>2D</t>
  </si>
  <si>
    <t>1E</t>
  </si>
  <si>
    <t>2E</t>
  </si>
  <si>
    <t>1F</t>
  </si>
  <si>
    <t>2F</t>
  </si>
  <si>
    <t>1G</t>
  </si>
  <si>
    <t>2G</t>
  </si>
  <si>
    <t>1H</t>
  </si>
  <si>
    <t>2H</t>
  </si>
  <si>
    <t>W49</t>
  </si>
  <si>
    <t>W50</t>
  </si>
  <si>
    <t>W51</t>
  </si>
  <si>
    <t>W52</t>
  </si>
  <si>
    <t>W53</t>
  </si>
  <si>
    <t>W54</t>
  </si>
  <si>
    <t>W55</t>
  </si>
  <si>
    <t>W56</t>
  </si>
  <si>
    <t>W57</t>
  </si>
  <si>
    <t>W58</t>
  </si>
  <si>
    <t>W59</t>
  </si>
  <si>
    <t>W60</t>
  </si>
  <si>
    <t>W61</t>
  </si>
  <si>
    <t>W62</t>
  </si>
  <si>
    <t>L61</t>
  </si>
  <si>
    <t>L62</t>
  </si>
  <si>
    <t>World Champion 2022</t>
  </si>
  <si>
    <t>en</t>
  </si>
  <si>
    <t>Settings</t>
  </si>
  <si>
    <t>Group Round Sorting</t>
  </si>
  <si>
    <t>Language</t>
  </si>
  <si>
    <t>Step #1</t>
  </si>
  <si>
    <t>Points</t>
  </si>
  <si>
    <t>Summer Time</t>
  </si>
  <si>
    <t>No</t>
  </si>
  <si>
    <t>Step #2</t>
  </si>
  <si>
    <t>Goal Difference</t>
  </si>
  <si>
    <t>Step #3</t>
  </si>
  <si>
    <t>Goals Scored</t>
  </si>
  <si>
    <t>GTM-Time</t>
  </si>
  <si>
    <t>GMT + 3:00</t>
  </si>
  <si>
    <t>Step #4</t>
  </si>
  <si>
    <t>Concerned teams (Pnt, GF-GA, GF)</t>
  </si>
  <si>
    <t>Step #5</t>
  </si>
  <si>
    <t>FIFA Rank</t>
  </si>
  <si>
    <t>Minutes</t>
  </si>
  <si>
    <t>+0 min</t>
  </si>
  <si>
    <t>Favorite Team</t>
  </si>
  <si>
    <t>Language ID</t>
  </si>
  <si>
    <t>GMT Delta</t>
  </si>
  <si>
    <t>Community Life</t>
  </si>
  <si>
    <t>Division of BESE</t>
  </si>
  <si>
    <t>Division of CEMSE</t>
  </si>
  <si>
    <t>Division of PSE</t>
  </si>
  <si>
    <t>FacilitiesManagement</t>
  </si>
  <si>
    <t>Finance</t>
  </si>
  <si>
    <t>Gov Aff Mgmt</t>
  </si>
  <si>
    <t>Health, Safety &amp; Environment Management</t>
  </si>
  <si>
    <t>Human Resources</t>
  </si>
  <si>
    <t>Information Technology</t>
  </si>
  <si>
    <t>Innovation KAUST</t>
  </si>
  <si>
    <t>Internal Audit</t>
  </si>
  <si>
    <t>Office of GenCounsel</t>
  </si>
  <si>
    <t>Office of President</t>
  </si>
  <si>
    <t>Office of Provost</t>
  </si>
  <si>
    <t>Research</t>
  </si>
  <si>
    <t>Strat Nat Adv</t>
  </si>
  <si>
    <t>- Other: Research Park / Service Provider</t>
  </si>
  <si>
    <t>- Other: None listed above</t>
  </si>
  <si>
    <t>None - Neutral fan</t>
  </si>
  <si>
    <t>1. Download this file to your desktop or local folder and complete the requested information above</t>
  </si>
  <si>
    <r>
      <t xml:space="preserve">2. Make your predictions on the next tab (or </t>
    </r>
    <r>
      <rPr>
        <sz val="11"/>
        <color theme="4" tint="0.59999389629810485"/>
        <rFont val="Calibri"/>
        <family val="2"/>
        <scheme val="minor"/>
      </rPr>
      <t>click here</t>
    </r>
    <r>
      <rPr>
        <sz val="11"/>
        <color theme="7" tint="0.79998168889431442"/>
        <rFont val="Calibri"/>
        <family val="2"/>
        <scheme val="minor"/>
      </rPr>
      <t>)</t>
    </r>
  </si>
  <si>
    <t>3. Once completed, save this spreadsheet, ensuring that you keep it for your records and points tracking.</t>
  </si>
  <si>
    <r>
      <t>4. Upload this document to the 'Entry form' (</t>
    </r>
    <r>
      <rPr>
        <sz val="11"/>
        <color theme="4" tint="0.59999389629810485"/>
        <rFont val="Calibri"/>
        <family val="2"/>
        <scheme val="minor"/>
      </rPr>
      <t>click here</t>
    </r>
    <r>
      <rPr>
        <sz val="11"/>
        <color theme="7" tint="0.79998168889431442"/>
        <rFont val="Calibri"/>
        <family val="2"/>
        <scheme val="minor"/>
      </rPr>
      <t>), making sure that you attach your completed version of this document (name and KAUSTID must match to this file)</t>
    </r>
  </si>
  <si>
    <r>
      <t>5. Once submitted you will receive an email with your PlayerID. This ID can then be used to track your progress World Cup Challenge Dashboard (</t>
    </r>
    <r>
      <rPr>
        <sz val="11"/>
        <color theme="8" tint="0.39997558519241921"/>
        <rFont val="Calibri"/>
        <family val="2"/>
        <scheme val="minor"/>
      </rPr>
      <t>click here</t>
    </r>
    <r>
      <rPr>
        <sz val="11"/>
        <color theme="7" tint="0.79998168889431442"/>
        <rFont val="Calibri"/>
        <family val="2"/>
        <scheme val="minor"/>
      </rPr>
      <t>)</t>
    </r>
  </si>
  <si>
    <t>6. Enjoy the tournament and join us at fan zone for more world cup related fun!</t>
  </si>
  <si>
    <t>- Each player should predict the scoreline of all 48 group games in advance of the tournament starting</t>
  </si>
  <si>
    <t>- Only one entry per KAUST ID (only the latest submission per KAUST ID will be submitted for the competition)</t>
  </si>
  <si>
    <t>- Only fully completed submissions received before the deadline will be included in the competition</t>
  </si>
  <si>
    <t>Deadline for completed entries: 5pm Saturday 19th November</t>
  </si>
  <si>
    <t>Players Name &amp; ID:</t>
  </si>
  <si>
    <t>Round 2: Points are now awarded on Positions not scores | 5pts each for the correct team in the correct position</t>
  </si>
  <si>
    <r>
      <rPr>
        <b/>
        <sz val="14"/>
        <color rgb="FF801F38"/>
        <rFont val="Arial"/>
        <family val="2"/>
      </rPr>
      <t>Group Stage</t>
    </r>
    <r>
      <rPr>
        <b/>
        <sz val="14"/>
        <color rgb="FF7030A0"/>
        <rFont val="Arial"/>
        <family val="2"/>
      </rPr>
      <t xml:space="preserve">
</t>
    </r>
    <r>
      <rPr>
        <b/>
        <sz val="14"/>
        <color theme="1"/>
        <rFont val="Arial"/>
        <family val="2"/>
      </rPr>
      <t>Predict every result of the group stage for your chance to win. Only this part of the tournament will be included in the Challenge</t>
    </r>
  </si>
  <si>
    <r>
      <rPr>
        <b/>
        <sz val="14"/>
        <color rgb="FF801F38"/>
        <rFont val="Arial"/>
        <family val="2"/>
      </rPr>
      <t>Knock Out Rounds</t>
    </r>
    <r>
      <rPr>
        <b/>
        <sz val="14"/>
        <color rgb="FFFF0000"/>
        <rFont val="Arial"/>
        <family val="2"/>
      </rPr>
      <t xml:space="preserve">
</t>
    </r>
    <r>
      <rPr>
        <b/>
        <sz val="14"/>
        <rFont val="Arial"/>
        <family val="2"/>
      </rPr>
      <t>This is just for fun and will not be part of the Community Life Competition, but lets see if you can predict the final placings</t>
    </r>
  </si>
  <si>
    <r>
      <t xml:space="preserve">Highlighted Game Numbers are those (plus others) being shown on the big screen in the Discovery Square </t>
    </r>
    <r>
      <rPr>
        <b/>
        <i/>
        <sz val="18"/>
        <color rgb="FF008080"/>
        <rFont val="Calibri"/>
        <family val="2"/>
        <scheme val="minor"/>
      </rPr>
      <t>Fan Zone!</t>
    </r>
  </si>
  <si>
    <r>
      <t xml:space="preserve">Round of 16
</t>
    </r>
    <r>
      <rPr>
        <b/>
        <sz val="10"/>
        <color theme="0"/>
        <rFont val="Calibri"/>
        <family val="2"/>
      </rPr>
      <t>(PLAY FOR FUN)</t>
    </r>
  </si>
  <si>
    <r>
      <t xml:space="preserve">Quarterfinals
</t>
    </r>
    <r>
      <rPr>
        <b/>
        <sz val="10"/>
        <color theme="0"/>
        <rFont val="Calibri"/>
        <family val="2"/>
      </rPr>
      <t>(PLAY FOR FUN)</t>
    </r>
  </si>
  <si>
    <r>
      <t xml:space="preserve">Semi-Finals
</t>
    </r>
    <r>
      <rPr>
        <b/>
        <sz val="10"/>
        <color theme="0"/>
        <rFont val="Calibri"/>
        <family val="2"/>
      </rPr>
      <t>(PLAY FOR FUN)</t>
    </r>
  </si>
  <si>
    <r>
      <t xml:space="preserve">Final
</t>
    </r>
    <r>
      <rPr>
        <b/>
        <sz val="10"/>
        <color theme="0"/>
        <rFont val="Calibri"/>
        <family val="2"/>
      </rPr>
      <t>(PLAY FOR FUN)</t>
    </r>
  </si>
  <si>
    <r>
      <t xml:space="preserve">Group Stage 
</t>
    </r>
    <r>
      <rPr>
        <b/>
        <sz val="10"/>
        <color theme="0"/>
        <rFont val="Calibri"/>
        <family val="2"/>
        <scheme val="minor"/>
      </rPr>
      <t>(Only this stage forms part of the competition)</t>
    </r>
  </si>
  <si>
    <t>Group Standings</t>
  </si>
  <si>
    <t>KAUSTID</t>
  </si>
  <si>
    <t>Date + Time + GMT</t>
  </si>
  <si>
    <t>GF</t>
  </si>
  <si>
    <t>GA</t>
  </si>
  <si>
    <t>Place</t>
  </si>
  <si>
    <t>D</t>
  </si>
  <si>
    <t>Delta</t>
  </si>
  <si>
    <t>Pnt</t>
  </si>
  <si>
    <t>R</t>
  </si>
  <si>
    <t>FIFA</t>
  </si>
  <si>
    <t>Rank</t>
  </si>
  <si>
    <t>F-A</t>
  </si>
  <si>
    <t>Group A</t>
  </si>
  <si>
    <t>Pts</t>
  </si>
  <si>
    <t>Dec 3, 2022   18:00</t>
  </si>
  <si>
    <t>90mins</t>
  </si>
  <si>
    <t>Pens</t>
  </si>
  <si>
    <t>Dec 9, 2022   22:00</t>
  </si>
  <si>
    <t>Dec 3, 2022   22:00</t>
  </si>
  <si>
    <t>Group B</t>
  </si>
  <si>
    <t>Dec 13, 2022   22:00</t>
  </si>
  <si>
    <t>Dec 5, 2022   18:00</t>
  </si>
  <si>
    <t>Dec 9, 2022   18:00</t>
  </si>
  <si>
    <t>Group C</t>
  </si>
  <si>
    <t>Dec 5, 2022   22:00</t>
  </si>
  <si>
    <t>Dec 18, 2022   22:00</t>
  </si>
  <si>
    <t>Dec 4, 2022   22:00</t>
  </si>
  <si>
    <t>Group D</t>
  </si>
  <si>
    <t>Dec 10, 2022   22:00</t>
  </si>
  <si>
    <t>Dec 4, 2022   18:00</t>
  </si>
  <si>
    <t>Dec 14, 2022   22:00</t>
  </si>
  <si>
    <t>Group E</t>
  </si>
  <si>
    <t>Dec 6, 2022   18:00</t>
  </si>
  <si>
    <t>Dec 17, 2022   22:00</t>
  </si>
  <si>
    <t>Dec 10, 2022   18:00</t>
  </si>
  <si>
    <t>Dec 6, 2022   22:00</t>
  </si>
  <si>
    <t>Group F</t>
  </si>
  <si>
    <t>Do not enter a score in the ET or Pens boxes if they are still shaded grey. These are for games when they are drawn after 90 mins</t>
  </si>
  <si>
    <t>Group G</t>
  </si>
  <si>
    <t>RunnerUp</t>
  </si>
  <si>
    <t>Third Place</t>
  </si>
  <si>
    <t>Forth Place</t>
  </si>
  <si>
    <t>Group H</t>
  </si>
  <si>
    <t>The Scoring System</t>
  </si>
  <si>
    <r>
      <rPr>
        <b/>
        <sz val="10"/>
        <color theme="1"/>
        <rFont val="Calibri"/>
        <family val="2"/>
        <scheme val="minor"/>
      </rPr>
      <t xml:space="preserve">YOU MUST INSERT A VALID SCORE: </t>
    </r>
    <r>
      <rPr>
        <sz val="10"/>
        <color theme="1"/>
        <rFont val="Calibri"/>
        <family val="2"/>
        <scheme val="minor"/>
      </rPr>
      <t>If any score prediction, for either team, is left blank that whole fixture will be deemed void and no prediction for the game will be entered</t>
    </r>
  </si>
  <si>
    <r>
      <rPr>
        <b/>
        <sz val="10"/>
        <color theme="1"/>
        <rFont val="Calibri"/>
        <family val="2"/>
        <scheme val="minor"/>
      </rPr>
      <t xml:space="preserve">CAVEAT: </t>
    </r>
    <r>
      <rPr>
        <sz val="10"/>
        <color theme="1"/>
        <rFont val="Calibri"/>
        <family val="2"/>
        <scheme val="minor"/>
      </rPr>
      <t>In the event teams draw level on Pts, GF &amp; GD and result, the group placings may ultimately be settled by their diciplinary records (yellow &amp; red cards) or drawn lots. This is obviously impossible to model and so may lead to incorrect placing going forward and hence why only the group stages will form part of this competition.</t>
    </r>
  </si>
  <si>
    <r>
      <rPr>
        <b/>
        <sz val="14"/>
        <rFont val="Calibri"/>
        <family val="2"/>
        <scheme val="minor"/>
      </rPr>
      <t xml:space="preserve">1pt  </t>
    </r>
    <r>
      <rPr>
        <sz val="14"/>
        <rFont val="Calibri"/>
        <family val="2"/>
        <scheme val="minor"/>
      </rPr>
      <t xml:space="preserve"> - Correct Number Of Goals In The Match
</t>
    </r>
    <r>
      <rPr>
        <b/>
        <sz val="14"/>
        <rFont val="Calibri"/>
        <family val="2"/>
        <scheme val="minor"/>
      </rPr>
      <t xml:space="preserve">2pts </t>
    </r>
    <r>
      <rPr>
        <sz val="14"/>
        <rFont val="Calibri"/>
        <family val="2"/>
        <scheme val="minor"/>
      </rPr>
      <t xml:space="preserve"> - Correct Result (Team A win, Team B win, Draw)
</t>
    </r>
    <r>
      <rPr>
        <b/>
        <sz val="14"/>
        <rFont val="Calibri"/>
        <family val="2"/>
        <scheme val="minor"/>
      </rPr>
      <t xml:space="preserve">5pts </t>
    </r>
    <r>
      <rPr>
        <sz val="14"/>
        <rFont val="Calibri"/>
        <family val="2"/>
        <scheme val="minor"/>
      </rPr>
      <t xml:space="preserve"> - Correct Scoreline (eg:, 2:1,1:2 or 1:1)
</t>
    </r>
    <r>
      <rPr>
        <i/>
        <sz val="9"/>
        <color theme="1"/>
        <rFont val="Calibri"/>
        <family val="2"/>
        <scheme val="minor"/>
      </rPr>
      <t>(Only the highest score achieved contribute to your overall points total)</t>
    </r>
  </si>
  <si>
    <r>
      <t xml:space="preserve">Community Life's World Cup Challenge
</t>
    </r>
    <r>
      <rPr>
        <i/>
        <sz val="26"/>
        <color theme="0"/>
        <rFont val="Arial"/>
        <family val="2"/>
      </rPr>
      <t>Points Tracker</t>
    </r>
  </si>
  <si>
    <t>If you want to keep track of your points tally, simply enter the actual game result below. You can also view the CL Challenge World Cup dashboard, to see how you are comparing against other players</t>
  </si>
  <si>
    <t>Correct # Goals (1pt)</t>
  </si>
  <si>
    <t>Correct Result (2Pts)</t>
  </si>
  <si>
    <t>Correct Score (5pts)</t>
  </si>
  <si>
    <t>Points Achieved</t>
  </si>
  <si>
    <t>- Other: Community Member</t>
  </si>
  <si>
    <t>The KAUST School</t>
  </si>
  <si>
    <t>Enter your name</t>
  </si>
  <si>
    <r>
      <t xml:space="preserve">Enter your KAUST ID
</t>
    </r>
    <r>
      <rPr>
        <sz val="9"/>
        <color theme="0"/>
        <rFont val="Calibri"/>
        <family val="2"/>
        <scheme val="minor"/>
      </rPr>
      <t>(This must correspond with the ID used on the corresponding form submission, see step 4.)</t>
    </r>
  </si>
  <si>
    <t>Enter your email address</t>
  </si>
  <si>
    <t>Which team will you be supporting?</t>
  </si>
  <si>
    <t>Which KAUST Division do you work for OR, most associated with?</t>
  </si>
  <si>
    <r>
      <t xml:space="preserve">1pt   - Correct number of total goals in the match
2pts  - Correct result (team A win, team B win, draw)
5pts  - Correct scoreline (eg:, 2:1,1:2 or 1:1)
</t>
    </r>
    <r>
      <rPr>
        <sz val="9"/>
        <color theme="7" tint="0.79998168889431442"/>
        <rFont val="Calibri"/>
        <family val="2"/>
        <scheme val="minor"/>
      </rPr>
      <t>(Only the highest score achieved contribute to your overall points total)</t>
    </r>
  </si>
  <si>
    <t>If, after all 48 games have been played, placing of those with the same number of points will work on a countback system - based on the frequency of achieving 5pts and 2pts. With the highest number of those predicting the correct scoreline (5pts) being placed higher, followed by those with the highest 2pts, etc... If still equal, a raffle will determine the winner.</t>
  </si>
  <si>
    <r>
      <rPr>
        <b/>
        <sz val="16"/>
        <rFont val="Arial"/>
        <family val="2"/>
      </rPr>
      <t>Join us at the FAN ZONE!</t>
    </r>
    <r>
      <rPr>
        <sz val="11"/>
        <rFont val="Calibri"/>
        <family val="2"/>
        <scheme val="minor"/>
      </rPr>
      <t xml:space="preserve">
Don't forget! You can watch the opening ceremony, plus all of Saudi Arabia's games (plus many more) live on the big screen in </t>
    </r>
    <r>
      <rPr>
        <b/>
        <sz val="14"/>
        <rFont val="Calibri"/>
        <family val="2"/>
        <scheme val="minor"/>
      </rPr>
      <t>Discovery Square</t>
    </r>
  </si>
  <si>
    <t>Instructions for entry</t>
  </si>
  <si>
    <t>Rules of entry</t>
  </si>
  <si>
    <t>Scoring system</t>
  </si>
  <si>
    <t>Enter your details here</t>
  </si>
  <si>
    <t>Enter the ACTUAL result</t>
  </si>
  <si>
    <t>Frequency count</t>
  </si>
  <si>
    <r>
      <t xml:space="preserve">Community Life's 
</t>
    </r>
    <r>
      <rPr>
        <b/>
        <sz val="26"/>
        <color theme="0"/>
        <rFont val="Calibri"/>
        <family val="2"/>
        <scheme val="minor"/>
      </rPr>
      <t>World Cup Prediction Challenge</t>
    </r>
  </si>
  <si>
    <t>Community Life's | 2022 World Cup Prediction Challenge</t>
  </si>
  <si>
    <t>Division</t>
  </si>
  <si>
    <t>AET</t>
  </si>
  <si>
    <t>- You must be a KAUST Resident or Staff and have a valid KAUST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</si>
</sst>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h:mm;@"/>
    <numFmt numFmtId="166" formatCode="[$-409]d\-mmm;@"/>
  </numFmts>
  <fonts count="6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Calibri"/>
      <family val="2"/>
      <charset val="204"/>
    </font>
    <font>
      <b/>
      <sz val="12"/>
      <name val="Calibri"/>
      <family val="2"/>
      <charset val="204"/>
    </font>
    <font>
      <sz val="8"/>
      <name val="Calibri"/>
      <family val="2"/>
      <charset val="204"/>
    </font>
    <font>
      <sz val="11"/>
      <name val="Calibri"/>
      <family val="2"/>
      <scheme val="minor"/>
    </font>
    <font>
      <u/>
      <sz val="11"/>
      <color theme="10"/>
      <name val="Calibri"/>
      <family val="2"/>
      <scheme val="minor"/>
    </font>
    <font>
      <sz val="26"/>
      <color theme="0"/>
      <name val="Calibri"/>
      <family val="2"/>
      <scheme val="minor"/>
    </font>
    <font>
      <b/>
      <sz val="26"/>
      <color theme="0"/>
      <name val="Calibri"/>
      <family val="2"/>
      <scheme val="minor"/>
    </font>
    <font>
      <b/>
      <sz val="12"/>
      <color theme="1"/>
      <name val="Calibri"/>
      <family val="2"/>
      <scheme val="minor"/>
    </font>
    <font>
      <b/>
      <sz val="12"/>
      <color theme="0"/>
      <name val="Calibri"/>
      <family val="2"/>
      <scheme val="minor"/>
    </font>
    <font>
      <b/>
      <sz val="18"/>
      <color theme="1"/>
      <name val="Calibri"/>
      <family val="2"/>
      <scheme val="minor"/>
    </font>
    <font>
      <sz val="9"/>
      <color theme="0"/>
      <name val="Calibri"/>
      <family val="2"/>
      <scheme val="minor"/>
    </font>
    <font>
      <b/>
      <sz val="20"/>
      <color theme="1"/>
      <name val="Calibri"/>
      <family val="2"/>
      <scheme val="minor"/>
    </font>
    <font>
      <b/>
      <u/>
      <sz val="11"/>
      <color theme="7" tint="0.79998168889431442"/>
      <name val="Calibri"/>
      <family val="2"/>
      <scheme val="minor"/>
    </font>
    <font>
      <sz val="11"/>
      <color theme="7" tint="0.79998168889431442"/>
      <name val="Calibri"/>
      <family val="2"/>
      <scheme val="minor"/>
    </font>
    <font>
      <sz val="9"/>
      <color theme="7" tint="0.79998168889431442"/>
      <name val="Calibri"/>
      <family val="2"/>
      <scheme val="minor"/>
    </font>
    <font>
      <sz val="11"/>
      <color theme="4" tint="0.59999389629810485"/>
      <name val="Calibri"/>
      <family val="2"/>
      <scheme val="minor"/>
    </font>
    <font>
      <sz val="11"/>
      <color theme="8" tint="0.39997558519241921"/>
      <name val="Calibri"/>
      <family val="2"/>
      <scheme val="minor"/>
    </font>
    <font>
      <sz val="10"/>
      <color theme="7" tint="0.79998168889431442"/>
      <name val="Calibri"/>
      <family val="2"/>
      <scheme val="minor"/>
    </font>
    <font>
      <b/>
      <sz val="16"/>
      <name val="Arial"/>
      <family val="2"/>
    </font>
    <font>
      <b/>
      <sz val="14"/>
      <name val="Calibri"/>
      <family val="2"/>
      <scheme val="minor"/>
    </font>
    <font>
      <b/>
      <sz val="14"/>
      <color theme="7"/>
      <name val="Calibri"/>
      <family val="2"/>
      <scheme val="minor"/>
    </font>
    <font>
      <sz val="26"/>
      <color theme="0"/>
      <name val="Arial Black"/>
      <family val="2"/>
    </font>
    <font>
      <b/>
      <sz val="11"/>
      <color theme="7" tint="0.79998168889431442"/>
      <name val="Calibri"/>
      <family val="2"/>
      <scheme val="minor"/>
    </font>
    <font>
      <sz val="10"/>
      <color indexed="12"/>
      <name val="Calibri"/>
      <family val="2"/>
      <charset val="204"/>
    </font>
    <font>
      <sz val="10"/>
      <color rgb="FFFF0000"/>
      <name val="Calibri"/>
      <family val="2"/>
    </font>
    <font>
      <sz val="11"/>
      <color theme="1"/>
      <name val="Amasis MT Pro Black"/>
      <family val="1"/>
    </font>
    <font>
      <sz val="10"/>
      <color indexed="12"/>
      <name val="Amasis MT Pro Black"/>
      <family val="1"/>
    </font>
    <font>
      <sz val="11"/>
      <color theme="0"/>
      <name val="Amasis MT Pro Black"/>
      <family val="1"/>
    </font>
    <font>
      <b/>
      <sz val="14"/>
      <color theme="1"/>
      <name val="Arial"/>
      <family val="2"/>
    </font>
    <font>
      <b/>
      <sz val="14"/>
      <color rgb="FF801F38"/>
      <name val="Arial"/>
      <family val="2"/>
    </font>
    <font>
      <b/>
      <sz val="14"/>
      <color rgb="FF7030A0"/>
      <name val="Arial"/>
      <family val="2"/>
    </font>
    <font>
      <b/>
      <sz val="11"/>
      <color theme="1"/>
      <name val="Arial"/>
      <family val="2"/>
    </font>
    <font>
      <b/>
      <sz val="14"/>
      <color rgb="FFFF0000"/>
      <name val="Arial"/>
      <family val="2"/>
    </font>
    <font>
      <b/>
      <sz val="14"/>
      <name val="Arial"/>
      <family val="2"/>
    </font>
    <font>
      <b/>
      <i/>
      <sz val="12"/>
      <color rgb="FF008080"/>
      <name val="Calibri"/>
      <family val="2"/>
      <scheme val="minor"/>
    </font>
    <font>
      <b/>
      <i/>
      <sz val="18"/>
      <color rgb="FF008080"/>
      <name val="Calibri"/>
      <family val="2"/>
      <scheme val="minor"/>
    </font>
    <font>
      <b/>
      <sz val="16"/>
      <color theme="0"/>
      <name val="Calibri"/>
      <family val="2"/>
    </font>
    <font>
      <b/>
      <sz val="10"/>
      <color theme="0"/>
      <name val="Calibri"/>
      <family val="2"/>
    </font>
    <font>
      <b/>
      <sz val="16"/>
      <color theme="0"/>
      <name val="Calibri"/>
      <family val="2"/>
      <scheme val="minor"/>
    </font>
    <font>
      <b/>
      <sz val="10"/>
      <color theme="0"/>
      <name val="Calibri"/>
      <family val="2"/>
      <scheme val="minor"/>
    </font>
    <font>
      <b/>
      <sz val="16"/>
      <color theme="1"/>
      <name val="Calibri"/>
      <family val="2"/>
      <scheme val="minor"/>
    </font>
    <font>
      <b/>
      <sz val="10"/>
      <name val="Calibri"/>
      <family val="2"/>
    </font>
    <font>
      <b/>
      <sz val="10"/>
      <color theme="0"/>
      <name val="Calibri"/>
      <family val="2"/>
      <charset val="204"/>
    </font>
    <font>
      <sz val="8"/>
      <color theme="0" tint="-0.499984740745262"/>
      <name val="Calibri"/>
      <family val="2"/>
      <scheme val="minor"/>
    </font>
    <font>
      <sz val="8"/>
      <color theme="0" tint="-0.499984740745262"/>
      <name val="Calibri"/>
      <family val="2"/>
    </font>
    <font>
      <sz val="10"/>
      <color theme="0" tint="-0.14999847407452621"/>
      <name val="Calibri"/>
      <family val="2"/>
      <charset val="204"/>
    </font>
    <font>
      <sz val="16"/>
      <color theme="0"/>
      <name val="Calibri"/>
      <family val="2"/>
      <charset val="204"/>
    </font>
    <font>
      <b/>
      <sz val="16"/>
      <name val="Calibri"/>
      <family val="2"/>
      <charset val="204"/>
    </font>
    <font>
      <b/>
      <sz val="16"/>
      <color theme="5" tint="-0.249977111117893"/>
      <name val="Arial"/>
      <family val="2"/>
    </font>
    <font>
      <sz val="11"/>
      <color theme="2" tint="-0.749992370372631"/>
      <name val="Calibri"/>
      <family val="2"/>
      <scheme val="minor"/>
    </font>
    <font>
      <sz val="16"/>
      <color theme="1"/>
      <name val="Arial"/>
      <family val="2"/>
    </font>
    <font>
      <sz val="10"/>
      <color theme="1"/>
      <name val="Calibri"/>
      <family val="2"/>
      <scheme val="minor"/>
    </font>
    <font>
      <b/>
      <sz val="10"/>
      <color theme="1"/>
      <name val="Calibri"/>
      <family val="2"/>
      <scheme val="minor"/>
    </font>
    <font>
      <sz val="14"/>
      <name val="Calibri"/>
      <family val="2"/>
      <scheme val="minor"/>
    </font>
    <font>
      <i/>
      <sz val="9"/>
      <color theme="1"/>
      <name val="Calibri"/>
      <family val="2"/>
      <scheme val="minor"/>
    </font>
    <font>
      <sz val="10"/>
      <color theme="0"/>
      <name val="Calibri"/>
      <family val="2"/>
    </font>
    <font>
      <i/>
      <sz val="26"/>
      <color theme="0"/>
      <name val="Arial"/>
      <family val="2"/>
    </font>
    <font>
      <b/>
      <sz val="18"/>
      <color theme="0"/>
      <name val="Calibri"/>
      <family val="2"/>
      <scheme val="minor"/>
    </font>
    <font>
      <b/>
      <sz val="28"/>
      <color theme="0"/>
      <name val="Calibri"/>
      <family val="2"/>
      <scheme val="minor"/>
    </font>
    <font>
      <b/>
      <sz val="20"/>
      <color theme="0"/>
      <name val="Calibri"/>
      <family val="2"/>
      <scheme val="minor"/>
    </font>
    <font>
      <b/>
      <sz val="10"/>
      <color rgb="FFFF0000"/>
      <name val="Calibri"/>
      <family val="2"/>
    </font>
    <font>
      <b/>
      <sz val="11"/>
      <color theme="0" tint="-0.14999847407452621"/>
      <name val="Arial"/>
      <family val="2"/>
    </font>
  </fonts>
  <fills count="16">
    <fill>
      <patternFill patternType="none"/>
    </fill>
    <fill>
      <patternFill patternType="gray125"/>
    </fill>
    <fill>
      <patternFill patternType="solid">
        <fgColor rgb="FFFFFFCC"/>
      </patternFill>
    </fill>
    <fill>
      <patternFill patternType="solid">
        <fgColor theme="7" tint="0.39997558519241921"/>
        <bgColor indexed="64"/>
      </patternFill>
    </fill>
    <fill>
      <patternFill patternType="solid">
        <fgColor rgb="FF9A0F31"/>
        <bgColor indexed="64"/>
      </patternFill>
    </fill>
    <fill>
      <patternFill patternType="solid">
        <fgColor theme="7"/>
        <bgColor indexed="64"/>
      </patternFill>
    </fill>
    <fill>
      <patternFill patternType="solid">
        <fgColor rgb="FFFFC000"/>
        <bgColor indexed="64"/>
      </patternFill>
    </fill>
    <fill>
      <patternFill patternType="solid">
        <fgColor rgb="FF00CFB7"/>
        <bgColor indexed="64"/>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34998626667073579"/>
        <bgColor indexed="64"/>
      </patternFill>
    </fill>
    <fill>
      <patternFill patternType="solid">
        <fgColor theme="9" tint="-0.499984740745262"/>
        <bgColor indexed="64"/>
      </patternFill>
    </fill>
    <fill>
      <patternFill patternType="solid">
        <fgColor rgb="FF0070C0"/>
        <bgColor indexed="64"/>
      </patternFill>
    </fill>
    <fill>
      <patternFill patternType="solid">
        <fgColor theme="4" tint="0.79998168889431442"/>
        <bgColor indexed="64"/>
      </patternFill>
    </fill>
  </fills>
  <borders count="51">
    <border>
      <left/>
      <right/>
      <top/>
      <bottom/>
      <diagonal/>
    </border>
    <border>
      <left style="thin">
        <color rgb="FFB2B2B2"/>
      </left>
      <right style="thin">
        <color rgb="FFB2B2B2"/>
      </right>
      <top style="thin">
        <color rgb="FFB2B2B2"/>
      </top>
      <bottom style="thin">
        <color rgb="FFB2B2B2"/>
      </bottom>
      <diagonal/>
    </border>
    <border>
      <left style="medium">
        <color theme="1"/>
      </left>
      <right style="medium">
        <color indexed="64"/>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theme="3" tint="0.39994506668294322"/>
      </right>
      <top style="thin">
        <color theme="3" tint="0.39994506668294322"/>
      </top>
      <bottom/>
      <diagonal/>
    </border>
    <border>
      <left/>
      <right style="thin">
        <color theme="3" tint="0.39994506668294322"/>
      </right>
      <top/>
      <bottom/>
      <diagonal/>
    </border>
    <border>
      <left style="thin">
        <color theme="3" tint="0.39994506668294322"/>
      </left>
      <right/>
      <top style="thin">
        <color theme="3" tint="0.39991454817346722"/>
      </top>
      <bottom/>
      <diagonal/>
    </border>
    <border>
      <left/>
      <right style="thin">
        <color theme="3" tint="0.39994506668294322"/>
      </right>
      <top/>
      <bottom style="thin">
        <color theme="3" tint="0.39994506668294322"/>
      </bottom>
      <diagonal/>
    </border>
    <border>
      <left style="thin">
        <color theme="3" tint="0.39994506668294322"/>
      </left>
      <right/>
      <top/>
      <bottom/>
      <diagonal/>
    </border>
    <border>
      <left/>
      <right/>
      <top style="medium">
        <color indexed="12"/>
      </top>
      <bottom/>
      <diagonal/>
    </border>
    <border>
      <left/>
      <right/>
      <top/>
      <bottom style="medium">
        <color indexed="12"/>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2" borderId="1" applyNumberFormat="0" applyFont="0" applyAlignment="0" applyProtection="0"/>
    <xf numFmtId="0" fontId="10" fillId="0" borderId="0" applyNumberFormat="0" applyFill="0" applyBorder="0" applyAlignment="0" applyProtection="0"/>
  </cellStyleXfs>
  <cellXfs count="261">
    <xf numFmtId="0" fontId="0" fillId="0" borderId="0" xfId="0"/>
    <xf numFmtId="0" fontId="6" fillId="0" borderId="0" xfId="0" applyFont="1"/>
    <xf numFmtId="0" fontId="0" fillId="3" borderId="0" xfId="0" applyFill="1" applyProtection="1">
      <protection hidden="1"/>
    </xf>
    <xf numFmtId="0" fontId="7" fillId="3" borderId="0" xfId="0" applyFont="1" applyFill="1" applyAlignment="1" applyProtection="1">
      <alignment horizontal="left" indent="1"/>
      <protection hidden="1"/>
    </xf>
    <xf numFmtId="0" fontId="6" fillId="3" borderId="0" xfId="0" applyFont="1" applyFill="1" applyAlignment="1" applyProtection="1">
      <alignment horizontal="left"/>
      <protection hidden="1"/>
    </xf>
    <xf numFmtId="0" fontId="6" fillId="3" borderId="0" xfId="0" applyFont="1" applyFill="1" applyProtection="1">
      <protection hidden="1"/>
    </xf>
    <xf numFmtId="0" fontId="6" fillId="3" borderId="0" xfId="0" applyFont="1" applyFill="1" applyAlignment="1" applyProtection="1">
      <alignment horizontal="right" vertical="center"/>
      <protection hidden="1"/>
    </xf>
    <xf numFmtId="0" fontId="6" fillId="3" borderId="0" xfId="1" applyFont="1" applyFill="1" applyBorder="1" applyAlignment="1" applyProtection="1">
      <alignment horizontal="left" vertical="center" indent="1"/>
      <protection locked="0"/>
    </xf>
    <xf numFmtId="0" fontId="6" fillId="3" borderId="0" xfId="0" applyFont="1" applyFill="1" applyAlignment="1" applyProtection="1">
      <alignment horizontal="right"/>
      <protection hidden="1"/>
    </xf>
    <xf numFmtId="164" fontId="5" fillId="3" borderId="0" xfId="0" applyNumberFormat="1" applyFont="1" applyFill="1" applyProtection="1">
      <protection hidden="1"/>
    </xf>
    <xf numFmtId="0" fontId="3" fillId="3" borderId="0" xfId="0" applyFont="1" applyFill="1" applyProtection="1">
      <protection hidden="1"/>
    </xf>
    <xf numFmtId="0" fontId="8" fillId="3" borderId="0" xfId="0" applyFont="1" applyFill="1" applyAlignment="1" applyProtection="1">
      <alignment horizontal="left" vertical="center"/>
      <protection hidden="1"/>
    </xf>
    <xf numFmtId="0" fontId="7" fillId="3" borderId="0" xfId="0" applyFont="1" applyFill="1" applyAlignment="1" applyProtection="1">
      <alignment horizontal="center"/>
      <protection hidden="1"/>
    </xf>
    <xf numFmtId="0" fontId="6" fillId="3" borderId="0" xfId="0" applyFont="1" applyFill="1" applyAlignment="1" applyProtection="1">
      <alignment horizontal="left" indent="1"/>
      <protection hidden="1"/>
    </xf>
    <xf numFmtId="3" fontId="6" fillId="3" borderId="0" xfId="1" applyNumberFormat="1" applyFont="1" applyFill="1" applyBorder="1" applyAlignment="1" applyProtection="1">
      <alignment horizontal="center"/>
      <protection locked="0"/>
    </xf>
    <xf numFmtId="0" fontId="0" fillId="3" borderId="0" xfId="0" applyFill="1"/>
    <xf numFmtId="0" fontId="0" fillId="3" borderId="0" xfId="0" quotePrefix="1" applyFill="1"/>
    <xf numFmtId="164" fontId="9" fillId="3" borderId="0" xfId="0" applyNumberFormat="1" applyFont="1" applyFill="1" applyProtection="1">
      <protection hidden="1"/>
    </xf>
    <xf numFmtId="0" fontId="0" fillId="4" borderId="0" xfId="0" applyFill="1"/>
    <xf numFmtId="0" fontId="11" fillId="4" borderId="0" xfId="0" applyFont="1" applyFill="1" applyAlignment="1">
      <alignment horizontal="right" vertical="center" wrapText="1"/>
    </xf>
    <xf numFmtId="0" fontId="13" fillId="4" borderId="0" xfId="0" applyFont="1" applyFill="1" applyAlignment="1">
      <alignment horizontal="right" vertical="center"/>
    </xf>
    <xf numFmtId="0" fontId="14" fillId="4" borderId="2" xfId="0" applyFont="1" applyFill="1" applyBorder="1" applyAlignment="1">
      <alignment horizontal="right" vertical="center"/>
    </xf>
    <xf numFmtId="0" fontId="15" fillId="5" borderId="3" xfId="0" applyFont="1" applyFill="1" applyBorder="1" applyAlignment="1" applyProtection="1">
      <alignment horizontal="center" vertical="center" shrinkToFit="1"/>
      <protection locked="0"/>
    </xf>
    <xf numFmtId="0" fontId="13" fillId="0" borderId="0" xfId="0" applyFont="1" applyAlignment="1">
      <alignment horizontal="right" vertical="center"/>
    </xf>
    <xf numFmtId="0" fontId="14" fillId="4" borderId="2" xfId="0" applyFont="1" applyFill="1" applyBorder="1" applyAlignment="1">
      <alignment horizontal="right" vertical="center" wrapText="1"/>
    </xf>
    <xf numFmtId="0" fontId="10" fillId="5" borderId="3" xfId="2" applyFill="1" applyBorder="1" applyAlignment="1" applyProtection="1">
      <alignment horizontal="center" vertical="center" shrinkToFit="1"/>
      <protection locked="0"/>
    </xf>
    <xf numFmtId="0" fontId="18" fillId="4" borderId="0" xfId="0" applyFont="1" applyFill="1"/>
    <xf numFmtId="0" fontId="19" fillId="4" borderId="0" xfId="0" quotePrefix="1" applyFont="1" applyFill="1"/>
    <xf numFmtId="0" fontId="19" fillId="4" borderId="0" xfId="2" quotePrefix="1" applyFont="1" applyFill="1" applyAlignment="1" applyProtection="1"/>
    <xf numFmtId="0" fontId="19" fillId="4" borderId="0" xfId="0" quotePrefix="1" applyFont="1" applyFill="1" applyAlignment="1">
      <alignment wrapText="1"/>
    </xf>
    <xf numFmtId="0" fontId="19" fillId="4" borderId="0" xfId="0" applyFont="1" applyFill="1"/>
    <xf numFmtId="0" fontId="26" fillId="4" borderId="0" xfId="0" quotePrefix="1" applyFont="1" applyFill="1"/>
    <xf numFmtId="0" fontId="5" fillId="0" borderId="0" xfId="0" applyFont="1" applyAlignment="1" applyProtection="1">
      <alignment vertical="center"/>
      <protection hidden="1"/>
    </xf>
    <xf numFmtId="0" fontId="0" fillId="4" borderId="0" xfId="0" applyFill="1" applyAlignment="1" applyProtection="1">
      <alignment vertical="center"/>
      <protection hidden="1"/>
    </xf>
    <xf numFmtId="0" fontId="0" fillId="0" borderId="0" xfId="0" applyAlignment="1" applyProtection="1">
      <alignment vertical="center"/>
      <protection hidden="1"/>
    </xf>
    <xf numFmtId="0" fontId="19" fillId="4" borderId="0" xfId="0" applyFont="1" applyFill="1" applyAlignment="1" applyProtection="1">
      <alignment vertical="top"/>
      <protection hidden="1"/>
    </xf>
    <xf numFmtId="0" fontId="28" fillId="4" borderId="0" xfId="0" applyFont="1" applyFill="1" applyAlignment="1" applyProtection="1">
      <alignment vertical="center"/>
      <protection hidden="1"/>
    </xf>
    <xf numFmtId="0" fontId="0" fillId="0" borderId="0" xfId="0" applyAlignment="1" applyProtection="1">
      <alignment horizontal="center" vertical="center"/>
      <protection hidden="1"/>
    </xf>
    <xf numFmtId="165" fontId="0" fillId="0" borderId="0" xfId="0" applyNumberFormat="1" applyAlignment="1" applyProtection="1">
      <alignment horizontal="center" vertical="center"/>
      <protection hidden="1"/>
    </xf>
    <xf numFmtId="0" fontId="0" fillId="0" borderId="0" xfId="0" applyAlignment="1" applyProtection="1">
      <alignment horizontal="right" vertical="center"/>
      <protection hidden="1"/>
    </xf>
    <xf numFmtId="0" fontId="29" fillId="0" borderId="0" xfId="0" applyFont="1" applyAlignment="1" applyProtection="1">
      <alignment horizontal="center" vertical="center"/>
      <protection hidden="1"/>
    </xf>
    <xf numFmtId="0" fontId="0" fillId="0" borderId="0" xfId="0" applyAlignment="1" applyProtection="1">
      <alignment horizontal="left" vertical="center"/>
      <protection hidden="1"/>
    </xf>
    <xf numFmtId="0" fontId="5" fillId="0" borderId="0" xfId="0" applyFont="1" applyAlignment="1" applyProtection="1">
      <alignment horizontal="left" vertical="center"/>
      <protection hidden="1"/>
    </xf>
    <xf numFmtId="0" fontId="0" fillId="0" borderId="0" xfId="0" applyAlignment="1" applyProtection="1">
      <alignment vertical="center" shrinkToFit="1"/>
      <protection hidden="1"/>
    </xf>
    <xf numFmtId="0" fontId="0" fillId="0" borderId="0" xfId="0" applyAlignment="1" applyProtection="1">
      <alignment horizontal="center" vertical="center" shrinkToFit="1"/>
      <protection hidden="1"/>
    </xf>
    <xf numFmtId="0" fontId="30" fillId="0" borderId="0" xfId="0" applyFont="1" applyAlignment="1" applyProtection="1">
      <alignment vertical="center"/>
      <protection hidden="1"/>
    </xf>
    <xf numFmtId="164" fontId="30" fillId="0" borderId="0" xfId="0" applyNumberFormat="1" applyFont="1" applyAlignment="1" applyProtection="1">
      <alignment horizontal="center" vertical="center"/>
      <protection hidden="1"/>
    </xf>
    <xf numFmtId="164" fontId="30" fillId="0" borderId="0" xfId="0" applyNumberFormat="1" applyFont="1" applyAlignment="1" applyProtection="1">
      <alignment vertical="center"/>
      <protection hidden="1"/>
    </xf>
    <xf numFmtId="164" fontId="3" fillId="0" borderId="0" xfId="0" applyNumberFormat="1" applyFont="1" applyAlignment="1" applyProtection="1">
      <alignment vertical="center"/>
      <protection hidden="1"/>
    </xf>
    <xf numFmtId="0" fontId="3" fillId="0" borderId="0" xfId="0" applyFont="1" applyProtection="1">
      <protection hidden="1"/>
    </xf>
    <xf numFmtId="0" fontId="31" fillId="0" borderId="0" xfId="0" applyFont="1" applyAlignment="1" applyProtection="1">
      <alignment horizontal="center" vertical="center"/>
      <protection hidden="1"/>
    </xf>
    <xf numFmtId="165" fontId="31" fillId="0" borderId="0" xfId="0" applyNumberFormat="1" applyFont="1" applyAlignment="1" applyProtection="1">
      <alignment horizontal="center" vertical="center"/>
      <protection hidden="1"/>
    </xf>
    <xf numFmtId="0" fontId="31" fillId="0" borderId="0" xfId="0" applyFont="1" applyAlignment="1" applyProtection="1">
      <alignment horizontal="right" vertical="center"/>
      <protection hidden="1"/>
    </xf>
    <xf numFmtId="0" fontId="32" fillId="0" borderId="0" xfId="0" applyFont="1" applyAlignment="1" applyProtection="1">
      <alignment horizontal="center" vertical="center"/>
      <protection hidden="1"/>
    </xf>
    <xf numFmtId="0" fontId="31" fillId="0" borderId="0" xfId="0" applyFont="1" applyAlignment="1" applyProtection="1">
      <alignment horizontal="left" vertical="center"/>
      <protection hidden="1"/>
    </xf>
    <xf numFmtId="0" fontId="33" fillId="0" borderId="0" xfId="0" applyFont="1" applyAlignment="1" applyProtection="1">
      <alignment horizontal="left" vertical="center"/>
      <protection hidden="1"/>
    </xf>
    <xf numFmtId="0" fontId="31" fillId="0" borderId="0" xfId="0" applyFont="1" applyAlignment="1" applyProtection="1">
      <alignment vertical="center"/>
      <protection hidden="1"/>
    </xf>
    <xf numFmtId="0" fontId="31" fillId="0" borderId="0" xfId="0" applyFont="1" applyAlignment="1" applyProtection="1">
      <alignment vertical="center" shrinkToFit="1"/>
      <protection hidden="1"/>
    </xf>
    <xf numFmtId="0" fontId="31" fillId="0" borderId="0" xfId="0" applyFont="1" applyAlignment="1" applyProtection="1">
      <alignment horizontal="center" vertical="center" shrinkToFit="1"/>
      <protection hidden="1"/>
    </xf>
    <xf numFmtId="0" fontId="0" fillId="7" borderId="14" xfId="0" applyFill="1" applyBorder="1" applyAlignment="1" applyProtection="1">
      <alignment horizontal="left" vertical="center"/>
      <protection hidden="1"/>
    </xf>
    <xf numFmtId="0" fontId="40" fillId="0" borderId="0" xfId="0" applyFont="1" applyAlignment="1" applyProtection="1">
      <alignment horizontal="left"/>
      <protection hidden="1"/>
    </xf>
    <xf numFmtId="0" fontId="0" fillId="0" borderId="0" xfId="0" applyProtection="1">
      <protection hidden="1"/>
    </xf>
    <xf numFmtId="0" fontId="0" fillId="0" borderId="0" xfId="0" applyAlignment="1" applyProtection="1">
      <alignment horizontal="right"/>
      <protection hidden="1"/>
    </xf>
    <xf numFmtId="0" fontId="0" fillId="0" borderId="0" xfId="0" applyAlignment="1" applyProtection="1">
      <alignment horizontal="left"/>
      <protection hidden="1"/>
    </xf>
    <xf numFmtId="0" fontId="5" fillId="0" borderId="0" xfId="0" applyFont="1" applyAlignment="1" applyProtection="1">
      <alignment horizontal="left"/>
      <protection hidden="1"/>
    </xf>
    <xf numFmtId="0" fontId="3" fillId="0" borderId="0" xfId="0" applyFont="1" applyAlignment="1" applyProtection="1">
      <alignment vertical="center"/>
      <protection hidden="1"/>
    </xf>
    <xf numFmtId="164" fontId="30" fillId="0" borderId="0" xfId="0" applyNumberFormat="1" applyFont="1" applyAlignment="1" applyProtection="1">
      <alignment horizontal="left" vertical="center"/>
      <protection hidden="1"/>
    </xf>
    <xf numFmtId="0" fontId="4" fillId="0" borderId="0" xfId="0" applyFont="1" applyAlignment="1" applyProtection="1">
      <alignment vertical="center"/>
      <protection hidden="1"/>
    </xf>
    <xf numFmtId="0" fontId="44" fillId="8" borderId="0" xfId="0" applyFont="1" applyFill="1" applyAlignment="1" applyProtection="1">
      <alignment horizontal="center" vertical="center"/>
      <protection hidden="1"/>
    </xf>
    <xf numFmtId="0" fontId="0" fillId="7" borderId="23" xfId="0" applyFill="1" applyBorder="1" applyAlignment="1" applyProtection="1">
      <alignment horizontal="center" vertical="center" shrinkToFit="1"/>
      <protection hidden="1"/>
    </xf>
    <xf numFmtId="0" fontId="6" fillId="8" borderId="24" xfId="0" applyFont="1" applyFill="1" applyBorder="1" applyAlignment="1" applyProtection="1">
      <alignment horizontal="center" vertical="center" shrinkToFit="1"/>
      <protection hidden="1"/>
    </xf>
    <xf numFmtId="166" fontId="0" fillId="8" borderId="24" xfId="0" applyNumberFormat="1" applyFill="1" applyBorder="1" applyAlignment="1" applyProtection="1">
      <alignment horizontal="center" vertical="center" shrinkToFit="1"/>
      <protection hidden="1"/>
    </xf>
    <xf numFmtId="165" fontId="0" fillId="8" borderId="24" xfId="0" applyNumberFormat="1" applyFill="1" applyBorder="1" applyAlignment="1" applyProtection="1">
      <alignment horizontal="center" vertical="center" shrinkToFit="1"/>
      <protection hidden="1"/>
    </xf>
    <xf numFmtId="0" fontId="4" fillId="8" borderId="24" xfId="0" applyFont="1" applyFill="1" applyBorder="1" applyAlignment="1" applyProtection="1">
      <alignment horizontal="right" vertical="center" shrinkToFit="1"/>
      <protection hidden="1"/>
    </xf>
    <xf numFmtId="0" fontId="47" fillId="9" borderId="24" xfId="0" applyFont="1" applyFill="1" applyBorder="1" applyAlignment="1" applyProtection="1">
      <alignment horizontal="center" vertical="center"/>
      <protection locked="0"/>
    </xf>
    <xf numFmtId="0" fontId="4" fillId="8" borderId="24" xfId="0" applyFont="1" applyFill="1" applyBorder="1" applyAlignment="1" applyProtection="1">
      <alignment horizontal="left" vertical="center" shrinkToFit="1"/>
      <protection hidden="1"/>
    </xf>
    <xf numFmtId="0" fontId="2" fillId="8" borderId="0" xfId="0" applyFont="1" applyFill="1" applyAlignment="1" applyProtection="1">
      <alignment horizontal="left" vertical="center" shrinkToFit="1"/>
      <protection hidden="1"/>
    </xf>
    <xf numFmtId="0" fontId="0" fillId="8" borderId="25" xfId="0" applyFill="1" applyBorder="1" applyAlignment="1" applyProtection="1">
      <alignment horizontal="center" vertical="center" shrinkToFit="1"/>
      <protection hidden="1"/>
    </xf>
    <xf numFmtId="0" fontId="6" fillId="8" borderId="14" xfId="0" applyFont="1" applyFill="1" applyBorder="1" applyAlignment="1" applyProtection="1">
      <alignment horizontal="center" vertical="center" shrinkToFit="1"/>
      <protection hidden="1"/>
    </xf>
    <xf numFmtId="166" fontId="0" fillId="8" borderId="14" xfId="0" applyNumberFormat="1" applyFill="1" applyBorder="1" applyAlignment="1" applyProtection="1">
      <alignment horizontal="center" vertical="center" shrinkToFit="1"/>
      <protection hidden="1"/>
    </xf>
    <xf numFmtId="165" fontId="0" fillId="8" borderId="14" xfId="0" applyNumberFormat="1" applyFill="1" applyBorder="1" applyAlignment="1" applyProtection="1">
      <alignment horizontal="center" vertical="center" shrinkToFit="1"/>
      <protection hidden="1"/>
    </xf>
    <xf numFmtId="0" fontId="4" fillId="8" borderId="14" xfId="0" applyFont="1" applyFill="1" applyBorder="1" applyAlignment="1" applyProtection="1">
      <alignment horizontal="right" vertical="center" shrinkToFit="1"/>
      <protection hidden="1"/>
    </xf>
    <xf numFmtId="0" fontId="47" fillId="9" borderId="14" xfId="0" applyFont="1" applyFill="1" applyBorder="1" applyAlignment="1" applyProtection="1">
      <alignment horizontal="center" vertical="center"/>
      <protection locked="0"/>
    </xf>
    <xf numFmtId="0" fontId="4" fillId="8" borderId="14" xfId="0" applyFont="1" applyFill="1" applyBorder="1" applyAlignment="1" applyProtection="1">
      <alignment horizontal="left" vertical="center" shrinkToFit="1"/>
      <protection hidden="1"/>
    </xf>
    <xf numFmtId="0" fontId="48" fillId="4" borderId="14" xfId="0" applyFont="1" applyFill="1" applyBorder="1" applyAlignment="1" applyProtection="1">
      <alignment horizontal="center" vertical="center" shrinkToFit="1"/>
      <protection hidden="1"/>
    </xf>
    <xf numFmtId="0" fontId="0" fillId="8" borderId="0" xfId="0" applyFill="1" applyAlignment="1" applyProtection="1">
      <alignment vertical="center"/>
      <protection hidden="1"/>
    </xf>
    <xf numFmtId="0" fontId="0" fillId="7" borderId="25" xfId="0" applyFill="1" applyBorder="1" applyAlignment="1" applyProtection="1">
      <alignment horizontal="center" vertical="center" shrinkToFit="1"/>
      <protection hidden="1"/>
    </xf>
    <xf numFmtId="0" fontId="0" fillId="0" borderId="14" xfId="0" applyBorder="1" applyAlignment="1" applyProtection="1">
      <alignment vertical="center" shrinkToFit="1"/>
      <protection hidden="1"/>
    </xf>
    <xf numFmtId="0" fontId="0" fillId="0" borderId="14" xfId="0" applyBorder="1" applyAlignment="1" applyProtection="1">
      <alignment horizontal="center" vertical="center" shrinkToFit="1"/>
      <protection hidden="1"/>
    </xf>
    <xf numFmtId="0" fontId="4" fillId="8" borderId="0" xfId="0" applyFont="1" applyFill="1" applyAlignment="1" applyProtection="1">
      <alignment vertical="center"/>
      <protection hidden="1"/>
    </xf>
    <xf numFmtId="0" fontId="49" fillId="8" borderId="0" xfId="0" applyFont="1" applyFill="1" applyAlignment="1" applyProtection="1">
      <alignment horizontal="center" vertical="center"/>
      <protection hidden="1"/>
    </xf>
    <xf numFmtId="0" fontId="50" fillId="8" borderId="0" xfId="0" applyFont="1" applyFill="1" applyAlignment="1" applyProtection="1">
      <alignment horizontal="center" vertical="center"/>
      <protection hidden="1"/>
    </xf>
    <xf numFmtId="0" fontId="0" fillId="8" borderId="14" xfId="0" applyFill="1" applyBorder="1" applyAlignment="1" applyProtection="1">
      <alignment horizontal="left" vertical="center" shrinkToFit="1"/>
      <protection hidden="1"/>
    </xf>
    <xf numFmtId="0" fontId="6" fillId="9" borderId="14" xfId="0" applyFont="1" applyFill="1" applyBorder="1" applyAlignment="1" applyProtection="1">
      <alignment horizontal="center" vertical="center"/>
      <protection locked="0"/>
    </xf>
    <xf numFmtId="0" fontId="51" fillId="10" borderId="14" xfId="0" applyFont="1" applyFill="1" applyBorder="1" applyAlignment="1" applyProtection="1">
      <alignment horizontal="center" vertical="center"/>
      <protection locked="0"/>
    </xf>
    <xf numFmtId="0" fontId="6" fillId="10" borderId="14" xfId="0" applyFont="1" applyFill="1" applyBorder="1" applyAlignment="1" applyProtection="1">
      <alignment horizontal="center" vertical="center"/>
      <protection locked="0"/>
    </xf>
    <xf numFmtId="0" fontId="0" fillId="8" borderId="26" xfId="0" applyFill="1" applyBorder="1" applyAlignment="1" applyProtection="1">
      <alignment vertical="center"/>
      <protection hidden="1"/>
    </xf>
    <xf numFmtId="0" fontId="0" fillId="8" borderId="27" xfId="0" applyFill="1" applyBorder="1" applyAlignment="1" applyProtection="1">
      <alignment vertical="center"/>
      <protection hidden="1"/>
    </xf>
    <xf numFmtId="0" fontId="6" fillId="8" borderId="0" xfId="0" applyFont="1" applyFill="1" applyAlignment="1" applyProtection="1">
      <alignment horizontal="right" vertical="center"/>
      <protection hidden="1"/>
    </xf>
    <xf numFmtId="0" fontId="0" fillId="8" borderId="28" xfId="0" applyFill="1" applyBorder="1" applyAlignment="1" applyProtection="1">
      <alignment vertical="center"/>
      <protection hidden="1"/>
    </xf>
    <xf numFmtId="0" fontId="0" fillId="8" borderId="29" xfId="0" applyFill="1" applyBorder="1" applyAlignment="1" applyProtection="1">
      <alignment vertical="center"/>
      <protection hidden="1"/>
    </xf>
    <xf numFmtId="0" fontId="0" fillId="8" borderId="30" xfId="0" applyFill="1" applyBorder="1" applyAlignment="1" applyProtection="1">
      <alignment vertical="center"/>
      <protection hidden="1"/>
    </xf>
    <xf numFmtId="0" fontId="0" fillId="8" borderId="0" xfId="0" applyFill="1" applyAlignment="1" applyProtection="1">
      <alignment horizontal="right" vertical="center"/>
      <protection hidden="1"/>
    </xf>
    <xf numFmtId="0" fontId="56" fillId="0" borderId="0" xfId="0" applyFont="1" applyAlignment="1" applyProtection="1">
      <alignment vertical="center"/>
      <protection hidden="1"/>
    </xf>
    <xf numFmtId="0" fontId="0" fillId="8" borderId="33" xfId="0" applyFill="1" applyBorder="1" applyAlignment="1" applyProtection="1">
      <alignment horizontal="center" vertical="center" shrinkToFit="1"/>
      <protection hidden="1"/>
    </xf>
    <xf numFmtId="0" fontId="6" fillId="8" borderId="34" xfId="0" applyFont="1" applyFill="1" applyBorder="1" applyAlignment="1" applyProtection="1">
      <alignment horizontal="center" vertical="center" shrinkToFit="1"/>
      <protection hidden="1"/>
    </xf>
    <xf numFmtId="166" fontId="0" fillId="8" borderId="34" xfId="0" applyNumberFormat="1" applyFill="1" applyBorder="1" applyAlignment="1" applyProtection="1">
      <alignment horizontal="center" vertical="center" shrinkToFit="1"/>
      <protection hidden="1"/>
    </xf>
    <xf numFmtId="165" fontId="0" fillId="8" borderId="34" xfId="0" applyNumberFormat="1" applyFill="1" applyBorder="1" applyAlignment="1" applyProtection="1">
      <alignment horizontal="center" vertical="center" shrinkToFit="1"/>
      <protection hidden="1"/>
    </xf>
    <xf numFmtId="0" fontId="4" fillId="8" borderId="34" xfId="0" applyFont="1" applyFill="1" applyBorder="1" applyAlignment="1" applyProtection="1">
      <alignment horizontal="right" vertical="center" shrinkToFit="1"/>
      <protection hidden="1"/>
    </xf>
    <xf numFmtId="0" fontId="47" fillId="9" borderId="34" xfId="0" applyFont="1" applyFill="1" applyBorder="1" applyAlignment="1" applyProtection="1">
      <alignment horizontal="center" vertical="center"/>
      <protection locked="0"/>
    </xf>
    <xf numFmtId="0" fontId="4" fillId="8" borderId="34" xfId="0" applyFont="1" applyFill="1" applyBorder="1" applyAlignment="1" applyProtection="1">
      <alignment horizontal="left" vertical="center" shrinkToFit="1"/>
      <protection hidden="1"/>
    </xf>
    <xf numFmtId="0" fontId="6" fillId="0" borderId="0" xfId="0" applyFont="1" applyAlignment="1" applyProtection="1">
      <alignment horizontal="center" vertical="center" shrinkToFit="1"/>
      <protection hidden="1"/>
    </xf>
    <xf numFmtId="165" fontId="0" fillId="0" borderId="0" xfId="0" applyNumberFormat="1" applyAlignment="1" applyProtection="1">
      <alignment horizontal="center" vertical="center" shrinkToFit="1"/>
      <protection hidden="1"/>
    </xf>
    <xf numFmtId="0" fontId="0" fillId="0" borderId="0" xfId="0" applyAlignment="1" applyProtection="1">
      <alignment horizontal="right" vertical="center" shrinkToFit="1"/>
      <protection hidden="1"/>
    </xf>
    <xf numFmtId="0" fontId="6" fillId="0" borderId="0" xfId="0" applyFont="1" applyAlignment="1" applyProtection="1">
      <alignment horizontal="center" vertical="center"/>
      <protection hidden="1"/>
    </xf>
    <xf numFmtId="0" fontId="0" fillId="0" borderId="0" xfId="0" applyAlignment="1" applyProtection="1">
      <alignment horizontal="left" vertical="center" shrinkToFit="1"/>
      <protection hidden="1"/>
    </xf>
    <xf numFmtId="0" fontId="5" fillId="0" borderId="0" xfId="0" applyFont="1" applyAlignment="1" applyProtection="1">
      <alignment horizontal="left" vertical="center" shrinkToFit="1"/>
      <protection hidden="1"/>
    </xf>
    <xf numFmtId="0" fontId="9" fillId="12" borderId="17" xfId="0" applyFont="1" applyFill="1" applyBorder="1" applyAlignment="1" applyProtection="1">
      <alignment vertical="top" wrapText="1"/>
      <protection hidden="1"/>
    </xf>
    <xf numFmtId="0" fontId="9" fillId="12" borderId="19" xfId="0" applyFont="1" applyFill="1" applyBorder="1" applyAlignment="1" applyProtection="1">
      <alignment vertical="top" wrapText="1"/>
      <protection hidden="1"/>
    </xf>
    <xf numFmtId="0" fontId="9" fillId="12" borderId="22" xfId="0" applyFont="1" applyFill="1" applyBorder="1" applyAlignment="1" applyProtection="1">
      <alignment vertical="top" wrapText="1"/>
      <protection hidden="1"/>
    </xf>
    <xf numFmtId="164" fontId="61" fillId="0" borderId="0" xfId="0" applyNumberFormat="1" applyFont="1" applyAlignment="1" applyProtection="1">
      <alignment horizontal="center" vertical="center"/>
      <protection hidden="1"/>
    </xf>
    <xf numFmtId="164" fontId="61" fillId="0" borderId="0" xfId="0" applyNumberFormat="1" applyFont="1" applyAlignment="1" applyProtection="1">
      <alignment vertical="center"/>
      <protection hidden="1"/>
    </xf>
    <xf numFmtId="164" fontId="30" fillId="13" borderId="0" xfId="0" applyNumberFormat="1" applyFont="1" applyFill="1" applyAlignment="1" applyProtection="1">
      <alignment horizontal="left" vertical="center"/>
      <protection hidden="1"/>
    </xf>
    <xf numFmtId="0" fontId="5"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34" fillId="0" borderId="0" xfId="0" applyFont="1" applyAlignment="1" applyProtection="1">
      <alignment vertical="top" wrapText="1"/>
      <protection hidden="1"/>
    </xf>
    <xf numFmtId="0" fontId="15" fillId="0" borderId="39" xfId="0" applyFont="1" applyBorder="1" applyAlignment="1" applyProtection="1">
      <alignment horizontal="center" vertical="center"/>
      <protection hidden="1"/>
    </xf>
    <xf numFmtId="0" fontId="15" fillId="0" borderId="40" xfId="0" applyFont="1" applyBorder="1" applyAlignment="1" applyProtection="1">
      <alignment horizontal="center" vertical="center"/>
      <protection hidden="1"/>
    </xf>
    <xf numFmtId="0" fontId="15" fillId="0" borderId="41" xfId="0" applyFont="1" applyBorder="1" applyAlignment="1" applyProtection="1">
      <alignment horizontal="center" vertical="center"/>
      <protection hidden="1"/>
    </xf>
    <xf numFmtId="0" fontId="0" fillId="0" borderId="23" xfId="0" applyBorder="1" applyAlignment="1" applyProtection="1">
      <alignment horizontal="center" vertical="center" shrinkToFit="1"/>
      <protection hidden="1"/>
    </xf>
    <xf numFmtId="0" fontId="47" fillId="15" borderId="24" xfId="0" applyFont="1" applyFill="1" applyBorder="1" applyAlignment="1" applyProtection="1">
      <alignment horizontal="center" vertical="center"/>
      <protection locked="0"/>
    </xf>
    <xf numFmtId="0" fontId="0" fillId="0" borderId="23"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4" fillId="0" borderId="45" xfId="0" applyFont="1" applyBorder="1" applyAlignment="1" applyProtection="1">
      <alignment horizontal="center" vertical="center"/>
      <protection hidden="1"/>
    </xf>
    <xf numFmtId="0" fontId="0" fillId="0" borderId="25" xfId="0" applyBorder="1" applyAlignment="1" applyProtection="1">
      <alignment horizontal="center" vertical="center" shrinkToFit="1"/>
      <protection hidden="1"/>
    </xf>
    <xf numFmtId="0" fontId="47" fillId="15" borderId="14" xfId="0" applyFont="1" applyFill="1" applyBorder="1" applyAlignment="1" applyProtection="1">
      <alignment horizontal="center" vertical="center"/>
      <protection locked="0"/>
    </xf>
    <xf numFmtId="0" fontId="0" fillId="0" borderId="25"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4" fillId="0" borderId="49" xfId="0" applyFont="1" applyBorder="1" applyAlignment="1" applyProtection="1">
      <alignment horizontal="center" vertical="center"/>
      <protection hidden="1"/>
    </xf>
    <xf numFmtId="0" fontId="47" fillId="15" borderId="34" xfId="0" applyFont="1" applyFill="1" applyBorder="1" applyAlignment="1" applyProtection="1">
      <alignment horizontal="center" vertical="center"/>
      <protection locked="0"/>
    </xf>
    <xf numFmtId="0" fontId="0" fillId="0" borderId="33" xfId="0" applyBorder="1" applyAlignment="1" applyProtection="1">
      <alignment horizontal="center" vertical="center"/>
      <protection hidden="1"/>
    </xf>
    <xf numFmtId="0" fontId="0" fillId="0" borderId="34" xfId="0" applyBorder="1" applyAlignment="1" applyProtection="1">
      <alignment horizontal="center" vertical="center"/>
      <protection hidden="1"/>
    </xf>
    <xf numFmtId="0" fontId="4" fillId="0" borderId="50" xfId="0" applyFont="1" applyBorder="1" applyAlignment="1" applyProtection="1">
      <alignment horizontal="center" vertical="center"/>
      <protection hidden="1"/>
    </xf>
    <xf numFmtId="164" fontId="66" fillId="0" borderId="0" xfId="0" applyNumberFormat="1" applyFont="1" applyAlignment="1" applyProtection="1">
      <alignment horizontal="center" vertical="center"/>
      <protection hidden="1"/>
    </xf>
    <xf numFmtId="0" fontId="0" fillId="3" borderId="0" xfId="0" quotePrefix="1" applyFill="1" applyProtection="1">
      <protection hidden="1"/>
    </xf>
    <xf numFmtId="0" fontId="67" fillId="4" borderId="0" xfId="0" applyFont="1" applyFill="1"/>
    <xf numFmtId="0" fontId="19" fillId="4" borderId="0" xfId="2" quotePrefix="1" applyFont="1" applyFill="1" applyAlignment="1" applyProtection="1">
      <alignment vertical="top" wrapText="1"/>
    </xf>
    <xf numFmtId="0" fontId="23" fillId="4" borderId="0" xfId="0" quotePrefix="1" applyFont="1" applyFill="1" applyAlignment="1">
      <alignment horizontal="left" vertical="center" wrapText="1"/>
    </xf>
    <xf numFmtId="0" fontId="23" fillId="4" borderId="6" xfId="0" quotePrefix="1" applyFont="1" applyFill="1" applyBorder="1" applyAlignment="1">
      <alignment horizontal="left" vertical="center" wrapText="1"/>
    </xf>
    <xf numFmtId="0" fontId="19" fillId="4" borderId="0" xfId="0" quotePrefix="1" applyFont="1" applyFill="1" applyAlignment="1">
      <alignment horizontal="left" wrapText="1"/>
    </xf>
    <xf numFmtId="0" fontId="9" fillId="5" borderId="7" xfId="0" applyFont="1" applyFill="1" applyBorder="1" applyAlignment="1">
      <alignment horizontal="center" vertical="center" wrapText="1"/>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0" xfId="0" applyFont="1" applyFill="1" applyAlignment="1">
      <alignment horizontal="center" vertical="center"/>
    </xf>
    <xf numFmtId="0" fontId="9" fillId="5" borderId="11"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13" xfId="0" applyFont="1" applyFill="1" applyBorder="1" applyAlignment="1">
      <alignment horizontal="center" vertical="center"/>
    </xf>
    <xf numFmtId="0" fontId="19" fillId="4" borderId="0" xfId="0" quotePrefix="1" applyFont="1" applyFill="1" applyAlignment="1">
      <alignment horizontal="left"/>
    </xf>
    <xf numFmtId="0" fontId="11" fillId="4" borderId="0" xfId="0" applyFont="1" applyFill="1" applyAlignment="1">
      <alignment horizontal="right" vertical="center" wrapText="1"/>
    </xf>
    <xf numFmtId="0" fontId="14" fillId="4" borderId="4" xfId="0" applyFont="1" applyFill="1" applyBorder="1" applyAlignment="1">
      <alignment horizontal="right" vertical="center" wrapText="1"/>
    </xf>
    <xf numFmtId="0" fontId="14" fillId="4" borderId="5" xfId="0" applyFont="1" applyFill="1" applyBorder="1" applyAlignment="1">
      <alignment horizontal="right" vertical="center" wrapText="1"/>
    </xf>
    <xf numFmtId="0" fontId="17" fillId="6" borderId="4" xfId="0" applyFont="1" applyFill="1" applyBorder="1" applyAlignment="1" applyProtection="1">
      <alignment horizontal="center" vertical="center" shrinkToFit="1"/>
      <protection locked="0"/>
    </xf>
    <xf numFmtId="0" fontId="17" fillId="6" borderId="5" xfId="0" applyFont="1" applyFill="1" applyBorder="1" applyAlignment="1" applyProtection="1">
      <alignment horizontal="center" vertical="center" shrinkToFit="1"/>
      <protection locked="0"/>
    </xf>
    <xf numFmtId="0" fontId="19" fillId="4" borderId="0" xfId="0" quotePrefix="1" applyFont="1" applyFill="1" applyAlignment="1">
      <alignment horizontal="left" vertical="top" wrapText="1"/>
    </xf>
    <xf numFmtId="0" fontId="19" fillId="4" borderId="0" xfId="2" quotePrefix="1" applyFont="1" applyFill="1" applyAlignment="1" applyProtection="1">
      <alignment horizontal="left"/>
    </xf>
    <xf numFmtId="0" fontId="19" fillId="4" borderId="0" xfId="2" quotePrefix="1" applyFont="1" applyFill="1" applyAlignment="1" applyProtection="1">
      <alignment horizontal="left" vertical="top" wrapText="1"/>
    </xf>
    <xf numFmtId="0" fontId="14" fillId="11" borderId="35" xfId="0" applyFont="1" applyFill="1" applyBorder="1" applyAlignment="1" applyProtection="1">
      <alignment horizontal="center" vertical="center"/>
      <protection hidden="1"/>
    </xf>
    <xf numFmtId="0" fontId="14" fillId="11" borderId="36" xfId="0" applyFont="1" applyFill="1" applyBorder="1" applyAlignment="1" applyProtection="1">
      <alignment horizontal="center" vertical="center"/>
      <protection hidden="1"/>
    </xf>
    <xf numFmtId="0" fontId="14" fillId="11" borderId="37" xfId="0" applyFont="1" applyFill="1" applyBorder="1" applyAlignment="1" applyProtection="1">
      <alignment horizontal="center" vertical="center"/>
      <protection hidden="1"/>
    </xf>
    <xf numFmtId="0" fontId="57" fillId="10" borderId="15" xfId="0" applyFont="1" applyFill="1" applyBorder="1" applyAlignment="1" applyProtection="1">
      <alignment horizontal="center" vertical="center" wrapText="1"/>
      <protection hidden="1"/>
    </xf>
    <xf numFmtId="0" fontId="57" fillId="10" borderId="16" xfId="0" applyFont="1" applyFill="1" applyBorder="1" applyAlignment="1" applyProtection="1">
      <alignment horizontal="center" vertical="center" wrapText="1"/>
      <protection hidden="1"/>
    </xf>
    <xf numFmtId="0" fontId="57" fillId="10" borderId="17" xfId="0" applyFont="1" applyFill="1" applyBorder="1" applyAlignment="1" applyProtection="1">
      <alignment horizontal="center" vertical="center" wrapText="1"/>
      <protection hidden="1"/>
    </xf>
    <xf numFmtId="0" fontId="57" fillId="10" borderId="18" xfId="0" applyFont="1" applyFill="1" applyBorder="1" applyAlignment="1" applyProtection="1">
      <alignment horizontal="center" vertical="center" wrapText="1"/>
      <protection hidden="1"/>
    </xf>
    <xf numFmtId="0" fontId="57" fillId="10" borderId="0" xfId="0" applyFont="1" applyFill="1" applyAlignment="1" applyProtection="1">
      <alignment horizontal="center" vertical="center" wrapText="1"/>
      <protection hidden="1"/>
    </xf>
    <xf numFmtId="0" fontId="57" fillId="10" borderId="19" xfId="0" applyFont="1" applyFill="1" applyBorder="1" applyAlignment="1" applyProtection="1">
      <alignment horizontal="center" vertical="center" wrapText="1"/>
      <protection hidden="1"/>
    </xf>
    <xf numFmtId="0" fontId="57" fillId="10" borderId="20" xfId="0" applyFont="1" applyFill="1" applyBorder="1" applyAlignment="1" applyProtection="1">
      <alignment horizontal="center" vertical="center" wrapText="1"/>
      <protection hidden="1"/>
    </xf>
    <xf numFmtId="0" fontId="57" fillId="10" borderId="21" xfId="0" applyFont="1" applyFill="1" applyBorder="1" applyAlignment="1" applyProtection="1">
      <alignment horizontal="center" vertical="center" wrapText="1"/>
      <protection hidden="1"/>
    </xf>
    <xf numFmtId="0" fontId="57" fillId="10" borderId="22" xfId="0" applyFont="1" applyFill="1" applyBorder="1" applyAlignment="1" applyProtection="1">
      <alignment horizontal="center" vertical="center" wrapText="1"/>
      <protection hidden="1"/>
    </xf>
    <xf numFmtId="0" fontId="57" fillId="10" borderId="15" xfId="0" applyFont="1" applyFill="1" applyBorder="1" applyAlignment="1" applyProtection="1">
      <alignment horizontal="center" vertical="center" wrapText="1" shrinkToFit="1"/>
      <protection hidden="1"/>
    </xf>
    <xf numFmtId="0" fontId="57" fillId="10" borderId="16" xfId="0" applyFont="1" applyFill="1" applyBorder="1" applyAlignment="1" applyProtection="1">
      <alignment horizontal="center" vertical="center" wrapText="1" shrinkToFit="1"/>
      <protection hidden="1"/>
    </xf>
    <xf numFmtId="0" fontId="57" fillId="10" borderId="17" xfId="0" applyFont="1" applyFill="1" applyBorder="1" applyAlignment="1" applyProtection="1">
      <alignment horizontal="center" vertical="center" wrapText="1" shrinkToFit="1"/>
      <protection hidden="1"/>
    </xf>
    <xf numFmtId="0" fontId="57" fillId="10" borderId="18" xfId="0" applyFont="1" applyFill="1" applyBorder="1" applyAlignment="1" applyProtection="1">
      <alignment horizontal="center" vertical="center" wrapText="1" shrinkToFit="1"/>
      <protection hidden="1"/>
    </xf>
    <xf numFmtId="0" fontId="57" fillId="10" borderId="0" xfId="0" applyFont="1" applyFill="1" applyAlignment="1" applyProtection="1">
      <alignment horizontal="center" vertical="center" wrapText="1" shrinkToFit="1"/>
      <protection hidden="1"/>
    </xf>
    <xf numFmtId="0" fontId="57" fillId="10" borderId="19" xfId="0" applyFont="1" applyFill="1" applyBorder="1" applyAlignment="1" applyProtection="1">
      <alignment horizontal="center" vertical="center" wrapText="1" shrinkToFit="1"/>
      <protection hidden="1"/>
    </xf>
    <xf numFmtId="0" fontId="57" fillId="10" borderId="20" xfId="0" applyFont="1" applyFill="1" applyBorder="1" applyAlignment="1" applyProtection="1">
      <alignment horizontal="center" vertical="center" wrapText="1" shrinkToFit="1"/>
      <protection hidden="1"/>
    </xf>
    <xf numFmtId="0" fontId="57" fillId="10" borderId="21" xfId="0" applyFont="1" applyFill="1" applyBorder="1" applyAlignment="1" applyProtection="1">
      <alignment horizontal="center" vertical="center" wrapText="1" shrinkToFit="1"/>
      <protection hidden="1"/>
    </xf>
    <xf numFmtId="0" fontId="57" fillId="10" borderId="22" xfId="0" applyFont="1" applyFill="1" applyBorder="1" applyAlignment="1" applyProtection="1">
      <alignment horizontal="center" vertical="center" wrapText="1" shrinkToFit="1"/>
      <protection hidden="1"/>
    </xf>
    <xf numFmtId="0" fontId="59" fillId="12" borderId="15" xfId="0" applyFont="1" applyFill="1" applyBorder="1" applyAlignment="1" applyProtection="1">
      <alignment horizontal="left" vertical="top" wrapText="1"/>
      <protection hidden="1"/>
    </xf>
    <xf numFmtId="0" fontId="59" fillId="12" borderId="16" xfId="0" applyFont="1" applyFill="1" applyBorder="1" applyAlignment="1" applyProtection="1">
      <alignment horizontal="left" vertical="top" wrapText="1"/>
      <protection hidden="1"/>
    </xf>
    <xf numFmtId="0" fontId="59" fillId="12" borderId="18" xfId="0" applyFont="1" applyFill="1" applyBorder="1" applyAlignment="1" applyProtection="1">
      <alignment horizontal="left" vertical="top" wrapText="1"/>
      <protection hidden="1"/>
    </xf>
    <xf numFmtId="0" fontId="59" fillId="12" borderId="0" xfId="0" applyFont="1" applyFill="1" applyAlignment="1" applyProtection="1">
      <alignment horizontal="left" vertical="top" wrapText="1"/>
      <protection hidden="1"/>
    </xf>
    <xf numFmtId="0" fontId="59" fillId="12" borderId="20" xfId="0" applyFont="1" applyFill="1" applyBorder="1" applyAlignment="1" applyProtection="1">
      <alignment horizontal="left" vertical="top" wrapText="1"/>
      <protection hidden="1"/>
    </xf>
    <xf numFmtId="0" fontId="59" fillId="12" borderId="21" xfId="0" applyFont="1" applyFill="1" applyBorder="1" applyAlignment="1" applyProtection="1">
      <alignment horizontal="left" vertical="top" wrapText="1"/>
      <protection hidden="1"/>
    </xf>
    <xf numFmtId="0" fontId="0" fillId="8" borderId="14" xfId="0" applyFill="1" applyBorder="1" applyAlignment="1" applyProtection="1">
      <alignment horizontal="center" vertical="center"/>
      <protection hidden="1"/>
    </xf>
    <xf numFmtId="0" fontId="53" fillId="0" borderId="31" xfId="0" applyFont="1" applyBorder="1" applyAlignment="1" applyProtection="1">
      <alignment horizontal="center" vertical="center" shrinkToFit="1"/>
      <protection hidden="1"/>
    </xf>
    <xf numFmtId="0" fontId="53" fillId="0" borderId="0" xfId="0" applyFont="1" applyAlignment="1" applyProtection="1">
      <alignment horizontal="center" vertical="center" shrinkToFit="1"/>
      <protection hidden="1"/>
    </xf>
    <xf numFmtId="0" fontId="54" fillId="0" borderId="31" xfId="0" applyFont="1" applyBorder="1" applyAlignment="1" applyProtection="1">
      <alignment horizontal="center" vertical="center" shrinkToFit="1"/>
      <protection hidden="1"/>
    </xf>
    <xf numFmtId="0" fontId="54" fillId="0" borderId="0" xfId="0" applyFont="1" applyAlignment="1" applyProtection="1">
      <alignment horizontal="center" vertical="center" shrinkToFit="1"/>
      <protection hidden="1"/>
    </xf>
    <xf numFmtId="0" fontId="55" fillId="0" borderId="0" xfId="0" applyFont="1" applyAlignment="1" applyProtection="1">
      <alignment horizontal="center" vertical="center" wrapText="1"/>
      <protection hidden="1"/>
    </xf>
    <xf numFmtId="0" fontId="24" fillId="8" borderId="31" xfId="0" applyFont="1" applyFill="1" applyBorder="1" applyAlignment="1" applyProtection="1">
      <alignment horizontal="center" vertical="center"/>
      <protection hidden="1"/>
    </xf>
    <xf numFmtId="0" fontId="24" fillId="8" borderId="0" xfId="0" applyFont="1" applyFill="1" applyAlignment="1" applyProtection="1">
      <alignment horizontal="center" vertical="center"/>
      <protection hidden="1"/>
    </xf>
    <xf numFmtId="0" fontId="53" fillId="0" borderId="32" xfId="0" applyFont="1" applyBorder="1" applyAlignment="1" applyProtection="1">
      <alignment horizontal="center" vertical="center" shrinkToFit="1"/>
      <protection hidden="1"/>
    </xf>
    <xf numFmtId="0" fontId="24" fillId="0" borderId="31" xfId="0" applyFont="1" applyBorder="1" applyAlignment="1" applyProtection="1">
      <alignment horizontal="center" vertical="center" shrinkToFit="1"/>
      <protection hidden="1"/>
    </xf>
    <xf numFmtId="0" fontId="24" fillId="0" borderId="32" xfId="0" applyFont="1" applyBorder="1" applyAlignment="1" applyProtection="1">
      <alignment horizontal="center" vertical="center" shrinkToFit="1"/>
      <protection hidden="1"/>
    </xf>
    <xf numFmtId="0" fontId="24" fillId="0" borderId="0" xfId="0" applyFont="1" applyAlignment="1" applyProtection="1">
      <alignment horizontal="center" vertical="center" shrinkToFit="1"/>
      <protection hidden="1"/>
    </xf>
    <xf numFmtId="0" fontId="52" fillId="4" borderId="15" xfId="0" applyFont="1" applyFill="1" applyBorder="1" applyAlignment="1" applyProtection="1">
      <alignment horizontal="center" vertical="center"/>
      <protection hidden="1"/>
    </xf>
    <xf numFmtId="0" fontId="52" fillId="4" borderId="16" xfId="0" applyFont="1" applyFill="1" applyBorder="1" applyAlignment="1" applyProtection="1">
      <alignment horizontal="center" vertical="center"/>
      <protection hidden="1"/>
    </xf>
    <xf numFmtId="0" fontId="52" fillId="4" borderId="17" xfId="0" applyFont="1" applyFill="1" applyBorder="1" applyAlignment="1" applyProtection="1">
      <alignment horizontal="center" vertical="center"/>
      <protection hidden="1"/>
    </xf>
    <xf numFmtId="0" fontId="52" fillId="4" borderId="20" xfId="0" applyFont="1" applyFill="1" applyBorder="1" applyAlignment="1" applyProtection="1">
      <alignment horizontal="center" vertical="center"/>
      <protection hidden="1"/>
    </xf>
    <xf numFmtId="0" fontId="52" fillId="4" borderId="21" xfId="0" applyFont="1" applyFill="1" applyBorder="1" applyAlignment="1" applyProtection="1">
      <alignment horizontal="center" vertical="center"/>
      <protection hidden="1"/>
    </xf>
    <xf numFmtId="0" fontId="52" fillId="4" borderId="22" xfId="0" applyFont="1" applyFill="1" applyBorder="1" applyAlignment="1" applyProtection="1">
      <alignment horizontal="center" vertical="center"/>
      <protection hidden="1"/>
    </xf>
    <xf numFmtId="0" fontId="42" fillId="4" borderId="15" xfId="0" applyFont="1" applyFill="1" applyBorder="1" applyAlignment="1" applyProtection="1">
      <alignment horizontal="center" vertical="center" wrapText="1"/>
      <protection hidden="1"/>
    </xf>
    <xf numFmtId="0" fontId="42" fillId="4" borderId="16" xfId="0" applyFont="1" applyFill="1" applyBorder="1" applyAlignment="1" applyProtection="1">
      <alignment horizontal="center" vertical="center"/>
      <protection hidden="1"/>
    </xf>
    <xf numFmtId="0" fontId="42" fillId="4" borderId="17" xfId="0" applyFont="1" applyFill="1" applyBorder="1" applyAlignment="1" applyProtection="1">
      <alignment horizontal="center" vertical="center"/>
      <protection hidden="1"/>
    </xf>
    <xf numFmtId="0" fontId="42" fillId="4" borderId="18" xfId="0" applyFont="1" applyFill="1" applyBorder="1" applyAlignment="1" applyProtection="1">
      <alignment horizontal="center" vertical="center"/>
      <protection hidden="1"/>
    </xf>
    <xf numFmtId="0" fontId="42" fillId="4" borderId="0" xfId="0" applyFont="1" applyFill="1" applyAlignment="1" applyProtection="1">
      <alignment horizontal="center" vertical="center"/>
      <protection hidden="1"/>
    </xf>
    <xf numFmtId="0" fontId="42" fillId="4" borderId="19" xfId="0" applyFont="1" applyFill="1" applyBorder="1" applyAlignment="1" applyProtection="1">
      <alignment horizontal="center" vertical="center"/>
      <protection hidden="1"/>
    </xf>
    <xf numFmtId="0" fontId="42" fillId="4" borderId="20" xfId="0" applyFont="1" applyFill="1" applyBorder="1" applyAlignment="1" applyProtection="1">
      <alignment horizontal="center" vertical="center"/>
      <protection hidden="1"/>
    </xf>
    <xf numFmtId="0" fontId="42" fillId="4" borderId="21" xfId="0" applyFont="1" applyFill="1" applyBorder="1" applyAlignment="1" applyProtection="1">
      <alignment horizontal="center" vertical="center"/>
      <protection hidden="1"/>
    </xf>
    <xf numFmtId="0" fontId="42" fillId="4" borderId="22" xfId="0" applyFont="1" applyFill="1" applyBorder="1" applyAlignment="1" applyProtection="1">
      <alignment horizontal="center" vertical="center"/>
      <protection hidden="1"/>
    </xf>
    <xf numFmtId="0" fontId="44" fillId="4" borderId="15" xfId="0" applyFont="1" applyFill="1" applyBorder="1" applyAlignment="1" applyProtection="1">
      <alignment horizontal="center" vertical="center" wrapText="1"/>
      <protection hidden="1"/>
    </xf>
    <xf numFmtId="0" fontId="44" fillId="4" borderId="16" xfId="0" applyFont="1" applyFill="1" applyBorder="1" applyAlignment="1" applyProtection="1">
      <alignment horizontal="center" vertical="center"/>
      <protection hidden="1"/>
    </xf>
    <xf numFmtId="0" fontId="44" fillId="4" borderId="17" xfId="0" applyFont="1" applyFill="1" applyBorder="1" applyAlignment="1" applyProtection="1">
      <alignment horizontal="center" vertical="center"/>
      <protection hidden="1"/>
    </xf>
    <xf numFmtId="0" fontId="44" fillId="4" borderId="20" xfId="0" applyFont="1" applyFill="1" applyBorder="1" applyAlignment="1" applyProtection="1">
      <alignment horizontal="center" vertical="center"/>
      <protection hidden="1"/>
    </xf>
    <xf numFmtId="0" fontId="44" fillId="4" borderId="21" xfId="0" applyFont="1" applyFill="1" applyBorder="1" applyAlignment="1" applyProtection="1">
      <alignment horizontal="center" vertical="center"/>
      <protection hidden="1"/>
    </xf>
    <xf numFmtId="0" fontId="44" fillId="4" borderId="22" xfId="0" applyFont="1" applyFill="1" applyBorder="1" applyAlignment="1" applyProtection="1">
      <alignment horizontal="center" vertical="center"/>
      <protection hidden="1"/>
    </xf>
    <xf numFmtId="0" fontId="46" fillId="9" borderId="15" xfId="0" applyFont="1" applyFill="1" applyBorder="1" applyAlignment="1" applyProtection="1">
      <alignment horizontal="center" vertical="center" shrinkToFit="1"/>
      <protection hidden="1"/>
    </xf>
    <xf numFmtId="0" fontId="46" fillId="9" borderId="16" xfId="0" applyFont="1" applyFill="1" applyBorder="1" applyAlignment="1" applyProtection="1">
      <alignment horizontal="center" vertical="center" shrinkToFit="1"/>
      <protection hidden="1"/>
    </xf>
    <xf numFmtId="0" fontId="46" fillId="9" borderId="17" xfId="0" applyFont="1" applyFill="1" applyBorder="1" applyAlignment="1" applyProtection="1">
      <alignment horizontal="center" vertical="center" shrinkToFit="1"/>
      <protection hidden="1"/>
    </xf>
    <xf numFmtId="0" fontId="46" fillId="9" borderId="20" xfId="0" applyFont="1" applyFill="1" applyBorder="1" applyAlignment="1" applyProtection="1">
      <alignment horizontal="center" vertical="center" shrinkToFit="1"/>
      <protection hidden="1"/>
    </xf>
    <xf numFmtId="0" fontId="46" fillId="9" borderId="21" xfId="0" applyFont="1" applyFill="1" applyBorder="1" applyAlignment="1" applyProtection="1">
      <alignment horizontal="center" vertical="center" shrinkToFit="1"/>
      <protection hidden="1"/>
    </xf>
    <xf numFmtId="0" fontId="46" fillId="9" borderId="22" xfId="0" applyFont="1" applyFill="1" applyBorder="1" applyAlignment="1" applyProtection="1">
      <alignment horizontal="center" vertical="center" shrinkToFit="1"/>
      <protection hidden="1"/>
    </xf>
    <xf numFmtId="0" fontId="27" fillId="4" borderId="0" xfId="0" applyFont="1" applyFill="1" applyAlignment="1" applyProtection="1">
      <alignment horizontal="left" vertical="center" shrinkToFit="1"/>
      <protection hidden="1"/>
    </xf>
    <xf numFmtId="0" fontId="28" fillId="4" borderId="0" xfId="0" applyFont="1" applyFill="1" applyAlignment="1" applyProtection="1">
      <alignment horizontal="center" vertical="top"/>
      <protection hidden="1"/>
    </xf>
    <xf numFmtId="0" fontId="28" fillId="4" borderId="0" xfId="0" applyFont="1" applyFill="1" applyAlignment="1" applyProtection="1">
      <alignment horizontal="center" vertical="center"/>
      <protection hidden="1"/>
    </xf>
    <xf numFmtId="0" fontId="28" fillId="4" borderId="0" xfId="0" applyFont="1" applyFill="1" applyAlignment="1" applyProtection="1">
      <alignment horizontal="left" vertical="center"/>
      <protection hidden="1"/>
    </xf>
    <xf numFmtId="0" fontId="34" fillId="0" borderId="0" xfId="0" applyFont="1" applyAlignment="1" applyProtection="1">
      <alignment horizontal="left" vertical="top" wrapText="1"/>
      <protection hidden="1"/>
    </xf>
    <xf numFmtId="0" fontId="37" fillId="0" borderId="0" xfId="0" applyFont="1" applyAlignment="1" applyProtection="1">
      <alignment horizontal="left" vertical="top" wrapText="1"/>
      <protection hidden="1"/>
    </xf>
    <xf numFmtId="0" fontId="38" fillId="0" borderId="0" xfId="0" applyFont="1" applyAlignment="1" applyProtection="1">
      <alignment horizontal="left" vertical="top" wrapText="1"/>
      <protection hidden="1"/>
    </xf>
    <xf numFmtId="0" fontId="27" fillId="14" borderId="0" xfId="0" applyFont="1" applyFill="1" applyAlignment="1" applyProtection="1">
      <alignment horizontal="center" vertical="center" wrapText="1" shrinkToFit="1"/>
      <protection hidden="1"/>
    </xf>
    <xf numFmtId="0" fontId="27" fillId="14" borderId="0" xfId="0" applyFont="1" applyFill="1" applyAlignment="1" applyProtection="1">
      <alignment horizontal="center" vertical="center" shrinkToFit="1"/>
      <protection hidden="1"/>
    </xf>
    <xf numFmtId="0" fontId="34" fillId="0" borderId="0" xfId="0" applyFont="1" applyAlignment="1" applyProtection="1">
      <alignment horizontal="center" vertical="center" wrapText="1"/>
      <protection hidden="1"/>
    </xf>
    <xf numFmtId="0" fontId="34" fillId="0" borderId="21" xfId="0" applyFont="1" applyBorder="1" applyAlignment="1" applyProtection="1">
      <alignment horizontal="center" vertical="center" wrapText="1"/>
      <protection hidden="1"/>
    </xf>
    <xf numFmtId="0" fontId="63" fillId="14" borderId="35" xfId="0" applyFont="1" applyFill="1" applyBorder="1" applyAlignment="1" applyProtection="1">
      <alignment horizontal="center" vertical="top"/>
      <protection hidden="1"/>
    </xf>
    <xf numFmtId="0" fontId="63" fillId="14" borderId="36" xfId="0" applyFont="1" applyFill="1" applyBorder="1" applyAlignment="1" applyProtection="1">
      <alignment horizontal="center" vertical="top"/>
      <protection hidden="1"/>
    </xf>
    <xf numFmtId="0" fontId="64" fillId="14" borderId="38" xfId="0" applyFont="1" applyFill="1" applyBorder="1" applyAlignment="1" applyProtection="1">
      <alignment horizontal="center" vertical="center" wrapText="1"/>
      <protection hidden="1"/>
    </xf>
    <xf numFmtId="0" fontId="64" fillId="14" borderId="42" xfId="0" applyFont="1" applyFill="1" applyBorder="1" applyAlignment="1" applyProtection="1">
      <alignment horizontal="center" vertical="center" wrapText="1"/>
      <protection hidden="1"/>
    </xf>
    <xf numFmtId="0" fontId="65" fillId="14" borderId="15" xfId="0" applyFont="1" applyFill="1" applyBorder="1" applyAlignment="1" applyProtection="1">
      <alignment horizontal="center" vertical="center"/>
      <protection hidden="1"/>
    </xf>
    <xf numFmtId="0" fontId="44" fillId="14" borderId="16" xfId="0" applyFont="1" applyFill="1" applyBorder="1" applyAlignment="1" applyProtection="1">
      <alignment horizontal="center" vertical="center"/>
      <protection hidden="1"/>
    </xf>
    <xf numFmtId="0" fontId="44" fillId="14" borderId="17" xfId="0" applyFont="1" applyFill="1" applyBorder="1" applyAlignment="1" applyProtection="1">
      <alignment horizontal="center" vertical="center"/>
      <protection hidden="1"/>
    </xf>
    <xf numFmtId="0" fontId="44" fillId="14" borderId="20" xfId="0" applyFont="1" applyFill="1" applyBorder="1" applyAlignment="1" applyProtection="1">
      <alignment horizontal="center" vertical="center"/>
      <protection hidden="1"/>
    </xf>
    <xf numFmtId="0" fontId="44" fillId="14" borderId="21" xfId="0" applyFont="1" applyFill="1" applyBorder="1" applyAlignment="1" applyProtection="1">
      <alignment horizontal="center" vertical="center"/>
      <protection hidden="1"/>
    </xf>
    <xf numFmtId="0" fontId="44" fillId="14" borderId="22" xfId="0" applyFont="1" applyFill="1" applyBorder="1" applyAlignment="1" applyProtection="1">
      <alignment horizontal="center" vertical="center"/>
      <protection hidden="1"/>
    </xf>
    <xf numFmtId="0" fontId="2" fillId="14" borderId="43" xfId="0" applyFont="1" applyFill="1" applyBorder="1" applyAlignment="1" applyProtection="1">
      <alignment horizontal="center" vertical="center" wrapText="1"/>
      <protection hidden="1"/>
    </xf>
    <xf numFmtId="0" fontId="2" fillId="14" borderId="46" xfId="0" applyFont="1" applyFill="1" applyBorder="1" applyAlignment="1" applyProtection="1">
      <alignment horizontal="center" vertical="center" wrapText="1"/>
      <protection hidden="1"/>
    </xf>
    <xf numFmtId="0" fontId="2" fillId="14" borderId="44" xfId="0" applyFont="1" applyFill="1" applyBorder="1" applyAlignment="1" applyProtection="1">
      <alignment horizontal="center" vertical="center" wrapText="1"/>
      <protection hidden="1"/>
    </xf>
    <xf numFmtId="0" fontId="2" fillId="14" borderId="47" xfId="0" applyFont="1" applyFill="1" applyBorder="1" applyAlignment="1" applyProtection="1">
      <alignment horizontal="center" vertical="center" wrapText="1"/>
      <protection hidden="1"/>
    </xf>
    <xf numFmtId="0" fontId="44" fillId="14" borderId="45" xfId="0" applyFont="1" applyFill="1" applyBorder="1" applyAlignment="1" applyProtection="1">
      <alignment horizontal="center" vertical="center"/>
      <protection hidden="1"/>
    </xf>
    <xf numFmtId="0" fontId="44" fillId="14" borderId="48" xfId="0" applyFont="1" applyFill="1" applyBorder="1" applyAlignment="1" applyProtection="1">
      <alignment horizontal="center" vertical="center"/>
      <protection hidden="1"/>
    </xf>
  </cellXfs>
  <cellStyles count="3">
    <cellStyle name="Hyperlink" xfId="2" builtinId="8"/>
    <cellStyle name="Normal" xfId="0" builtinId="0"/>
    <cellStyle name="Note" xfId="1" builtinId="10"/>
  </cellStyles>
  <dxfs count="235">
    <dxf>
      <font>
        <b/>
        <i val="0"/>
        <color theme="0"/>
      </font>
      <fill>
        <patternFill>
          <bgColor theme="9"/>
        </patternFill>
      </fill>
    </dxf>
    <dxf>
      <fill>
        <patternFill>
          <bgColor theme="7" tint="0.59996337778862885"/>
        </patternFill>
      </fill>
    </dxf>
    <dxf>
      <font>
        <b/>
        <i val="0"/>
        <condense val="0"/>
        <extend val="0"/>
      </font>
    </dxf>
    <dxf>
      <font>
        <b/>
        <i val="0"/>
        <condense val="0"/>
        <extend val="0"/>
      </font>
    </dxf>
    <dxf>
      <font>
        <b/>
        <i val="0"/>
        <condense val="0"/>
        <extend val="0"/>
      </font>
    </dxf>
    <dxf>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ont>
        <color theme="1"/>
      </font>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ont>
        <color theme="1"/>
      </font>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ont>
        <color theme="1"/>
      </font>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ont>
        <color theme="1"/>
      </font>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ont>
        <color theme="1"/>
      </font>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ont>
        <color theme="1"/>
      </font>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ont>
        <color theme="1"/>
      </font>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ont>
        <color theme="1"/>
      </font>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ont>
        <color theme="1"/>
      </font>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ont>
        <color theme="1"/>
      </font>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ont>
        <color theme="1"/>
      </font>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ont>
        <color theme="1"/>
      </font>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ont>
        <color theme="1"/>
      </font>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ont>
        <color theme="1"/>
      </font>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ont>
        <color theme="1"/>
      </font>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ont>
        <color theme="1"/>
      </font>
      <fill>
        <patternFill>
          <bgColor theme="7" tint="0.79998168889431442"/>
        </patternFill>
      </fill>
    </dxf>
    <dxf>
      <font>
        <b/>
        <i val="0"/>
        <condense val="0"/>
        <extend val="0"/>
      </font>
    </dxf>
    <dxf>
      <font>
        <color auto="1"/>
      </font>
      <fill>
        <patternFill>
          <bgColor theme="7" tint="0.79998168889431442"/>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ill>
        <patternFill>
          <bgColor theme="7" tint="0.59996337778862885"/>
        </patternFill>
      </fill>
    </dxf>
    <dxf>
      <font>
        <color theme="1" tint="0.499984740745262"/>
      </font>
    </dxf>
    <dxf>
      <font>
        <b/>
        <i val="0"/>
        <color auto="1"/>
      </font>
    </dxf>
    <dxf>
      <font>
        <color theme="1" tint="0.499984740745262"/>
      </font>
    </dxf>
    <dxf>
      <font>
        <b/>
        <i val="0"/>
        <color auto="1"/>
      </font>
    </dxf>
    <dxf>
      <font>
        <color theme="1" tint="0.499984740745262"/>
      </font>
    </dxf>
    <dxf>
      <font>
        <b/>
        <i val="0"/>
        <color auto="1"/>
      </font>
    </dxf>
    <dxf>
      <font>
        <color theme="1" tint="0.499984740745262"/>
      </font>
    </dxf>
    <dxf>
      <font>
        <b/>
        <i val="0"/>
        <color auto="1"/>
      </font>
    </dxf>
    <dxf>
      <font>
        <color theme="1" tint="0.499984740745262"/>
      </font>
    </dxf>
    <dxf>
      <font>
        <b/>
        <i val="0"/>
        <color auto="1"/>
      </font>
    </dxf>
    <dxf>
      <font>
        <color theme="1" tint="0.499984740745262"/>
      </font>
    </dxf>
    <dxf>
      <font>
        <b/>
        <i val="0"/>
        <color auto="1"/>
      </font>
    </dxf>
    <dxf>
      <font>
        <color theme="1" tint="0.499984740745262"/>
      </font>
    </dxf>
    <dxf>
      <font>
        <b/>
        <i val="0"/>
        <color theme="1"/>
      </font>
    </dxf>
    <dxf>
      <font>
        <color theme="1" tint="0.499984740745262"/>
      </font>
    </dxf>
    <dxf>
      <font>
        <b/>
        <i val="0"/>
        <color auto="1"/>
      </font>
    </dxf>
    <dxf>
      <font>
        <color theme="1" tint="0.499984740745262"/>
      </font>
    </dxf>
    <dxf>
      <font>
        <b/>
        <i val="0"/>
        <color auto="1"/>
      </font>
    </dxf>
    <dxf>
      <font>
        <color theme="1" tint="0.499984740745262"/>
      </font>
    </dxf>
    <dxf>
      <font>
        <b/>
        <i val="0"/>
        <color auto="1"/>
      </font>
    </dxf>
    <dxf>
      <font>
        <color theme="1" tint="0.499984740745262"/>
      </font>
    </dxf>
    <dxf>
      <font>
        <b/>
        <i val="0"/>
        <color theme="1"/>
      </font>
    </dxf>
    <dxf>
      <font>
        <color theme="1" tint="0.499984740745262"/>
      </font>
    </dxf>
    <dxf>
      <font>
        <b/>
        <i val="0"/>
        <color theme="1"/>
      </font>
    </dxf>
    <dxf>
      <font>
        <color theme="1" tint="0.499984740745262"/>
      </font>
    </dxf>
    <dxf>
      <font>
        <b/>
        <i val="0"/>
        <color theme="1"/>
      </font>
    </dxf>
    <dxf>
      <font>
        <color theme="1" tint="0.499984740745262"/>
      </font>
    </dxf>
    <dxf>
      <font>
        <b/>
        <i val="0"/>
        <color theme="1"/>
      </font>
    </dxf>
    <dxf>
      <font>
        <color theme="1" tint="0.499984740745262"/>
      </font>
    </dxf>
    <dxf>
      <font>
        <b/>
        <i val="0"/>
        <color theme="1"/>
      </font>
    </dxf>
    <dxf>
      <font>
        <color theme="1" tint="0.499984740745262"/>
      </font>
    </dxf>
    <dxf>
      <font>
        <b/>
        <i val="0"/>
        <color theme="1"/>
      </font>
    </dxf>
    <dxf>
      <font>
        <color theme="1" tint="0.499984740745262"/>
      </font>
    </dxf>
    <dxf>
      <font>
        <b/>
        <i val="0"/>
        <color theme="1"/>
      </font>
    </dxf>
    <dxf>
      <font>
        <color theme="1" tint="0.499984740745262"/>
      </font>
    </dxf>
    <dxf>
      <font>
        <b/>
        <i val="0"/>
        <color theme="1"/>
      </font>
    </dxf>
    <dxf>
      <font>
        <color theme="1" tint="0.499984740745262"/>
      </font>
    </dxf>
    <dxf>
      <font>
        <b/>
        <i val="0"/>
        <color theme="1"/>
      </font>
    </dxf>
    <dxf>
      <font>
        <color theme="1" tint="0.499984740745262"/>
      </font>
    </dxf>
    <dxf>
      <font>
        <b/>
        <i val="0"/>
        <color theme="1"/>
      </font>
    </dxf>
    <dxf>
      <font>
        <color theme="1" tint="0.499984740745262"/>
      </font>
    </dxf>
    <dxf>
      <font>
        <b/>
        <i val="0"/>
        <color theme="1"/>
      </font>
    </dxf>
    <dxf>
      <font>
        <color theme="1" tint="0.499984740745262"/>
      </font>
    </dxf>
    <dxf>
      <font>
        <b/>
        <i val="0"/>
        <color theme="1"/>
      </font>
    </dxf>
    <dxf>
      <font>
        <color theme="1" tint="0.499984740745262"/>
      </font>
    </dxf>
    <dxf>
      <font>
        <b/>
        <i val="0"/>
        <color theme="1"/>
      </font>
    </dxf>
    <dxf>
      <font>
        <color theme="1" tint="0.499984740745262"/>
      </font>
    </dxf>
    <dxf>
      <font>
        <b/>
        <i val="0"/>
        <color theme="1"/>
      </font>
    </dxf>
    <dxf>
      <font>
        <color theme="1" tint="0.499984740745262"/>
      </font>
    </dxf>
    <dxf>
      <font>
        <b/>
        <i val="0"/>
        <color theme="1"/>
      </font>
    </dxf>
    <dxf>
      <font>
        <color theme="1" tint="0.499984740745262"/>
      </font>
    </dxf>
    <dxf>
      <font>
        <b/>
        <i val="0"/>
        <color theme="1"/>
      </font>
    </dxf>
    <dxf>
      <font>
        <color theme="1" tint="0.499984740745262"/>
      </font>
    </dxf>
    <dxf>
      <font>
        <b/>
        <i val="0"/>
        <color auto="1"/>
      </font>
    </dxf>
    <dxf>
      <font>
        <color theme="1" tint="0.499984740745262"/>
      </font>
    </dxf>
    <dxf>
      <font>
        <b/>
        <i val="0"/>
        <color theme="1"/>
      </font>
    </dxf>
    <dxf>
      <font>
        <color theme="1" tint="0.499984740745262"/>
      </font>
    </dxf>
    <dxf>
      <font>
        <b/>
        <i val="0"/>
        <color auto="1"/>
      </font>
    </dxf>
    <dxf>
      <font>
        <color theme="1" tint="0.499984740745262"/>
      </font>
    </dxf>
    <dxf>
      <font>
        <b/>
        <i val="0"/>
        <color auto="1"/>
      </font>
    </dxf>
    <dxf>
      <font>
        <color theme="1" tint="0.499984740745262"/>
      </font>
    </dxf>
    <dxf>
      <font>
        <b/>
        <i val="0"/>
        <color auto="1"/>
      </font>
    </dxf>
    <dxf>
      <font>
        <color theme="1" tint="0.499984740745262"/>
      </font>
    </dxf>
    <dxf>
      <font>
        <b/>
        <i val="0"/>
        <color auto="1"/>
      </font>
    </dxf>
    <dxf>
      <font>
        <b/>
        <i val="0"/>
        <condense val="0"/>
        <extend val="0"/>
      </font>
    </dxf>
    <dxf>
      <font>
        <b/>
        <i val="0"/>
        <condense val="0"/>
        <extend val="0"/>
      </font>
    </dxf>
    <dxf>
      <font>
        <b val="0"/>
        <i val="0"/>
        <condense val="0"/>
        <extend val="0"/>
        <color auto="1"/>
      </font>
      <fill>
        <patternFill patternType="none">
          <bgColor auto="1"/>
        </patternFill>
      </fill>
    </dxf>
    <dxf>
      <font>
        <condense val="0"/>
        <extend val="0"/>
        <color auto="1"/>
      </font>
      <fill>
        <patternFill patternType="none">
          <bgColor auto="1"/>
        </patternFill>
      </fill>
    </dxf>
    <dxf>
      <font>
        <b val="0"/>
        <i val="0"/>
        <condense val="0"/>
        <extend val="0"/>
        <color auto="1"/>
      </font>
      <fill>
        <patternFill>
          <bgColor theme="8" tint="0.79998168889431442"/>
        </patternFill>
      </fill>
    </dxf>
    <dxf>
      <font>
        <b/>
        <i val="0"/>
        <condense val="0"/>
        <extend val="0"/>
        <color auto="1"/>
      </font>
      <fill>
        <patternFill>
          <bgColor theme="8" tint="0.79998168889431442"/>
        </patternFill>
      </fill>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114300</xdr:rowOff>
    </xdr:from>
    <xdr:to>
      <xdr:col>2</xdr:col>
      <xdr:colOff>1304926</xdr:colOff>
      <xdr:row>6</xdr:row>
      <xdr:rowOff>8132</xdr:rowOff>
    </xdr:to>
    <xdr:pic>
      <xdr:nvPicPr>
        <xdr:cNvPr id="2" name="Picture 1">
          <a:extLst>
            <a:ext uri="{FF2B5EF4-FFF2-40B4-BE49-F238E27FC236}">
              <a16:creationId xmlns:a16="http://schemas.microsoft.com/office/drawing/2014/main" id="{86357B0B-F67E-4014-9187-A240CEA522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76200"/>
          <a:ext cx="1685926" cy="913007"/>
        </a:xfrm>
        <a:prstGeom prst="rect">
          <a:avLst/>
        </a:prstGeom>
      </xdr:spPr>
    </xdr:pic>
    <xdr:clientData/>
  </xdr:twoCellAnchor>
  <xdr:twoCellAnchor editAs="oneCell">
    <xdr:from>
      <xdr:col>6</xdr:col>
      <xdr:colOff>17315</xdr:colOff>
      <xdr:row>2</xdr:row>
      <xdr:rowOff>38100</xdr:rowOff>
    </xdr:from>
    <xdr:to>
      <xdr:col>11</xdr:col>
      <xdr:colOff>523874</xdr:colOff>
      <xdr:row>15</xdr:row>
      <xdr:rowOff>123825</xdr:rowOff>
    </xdr:to>
    <xdr:pic>
      <xdr:nvPicPr>
        <xdr:cNvPr id="3" name="Picture 2">
          <a:extLst>
            <a:ext uri="{FF2B5EF4-FFF2-40B4-BE49-F238E27FC236}">
              <a16:creationId xmlns:a16="http://schemas.microsoft.com/office/drawing/2014/main" id="{C56F7CD3-B5B4-41CB-8EC8-75647A1A3CB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4372" t="13506" r="25209" b="11384"/>
        <a:stretch/>
      </xdr:blipFill>
      <xdr:spPr>
        <a:xfrm>
          <a:off x="7899253" y="295275"/>
          <a:ext cx="3745059" cy="35385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77</xdr:col>
      <xdr:colOff>200023</xdr:colOff>
      <xdr:row>0</xdr:row>
      <xdr:rowOff>0</xdr:rowOff>
    </xdr:from>
    <xdr:to>
      <xdr:col>80</xdr:col>
      <xdr:colOff>523875</xdr:colOff>
      <xdr:row>6</xdr:row>
      <xdr:rowOff>8132</xdr:rowOff>
    </xdr:to>
    <xdr:pic>
      <xdr:nvPicPr>
        <xdr:cNvPr id="2" name="Picture 1">
          <a:extLst>
            <a:ext uri="{FF2B5EF4-FFF2-40B4-BE49-F238E27FC236}">
              <a16:creationId xmlns:a16="http://schemas.microsoft.com/office/drawing/2014/main" id="{2A9AA650-771A-40AD-9D00-7B7DF267FD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16848" y="0"/>
          <a:ext cx="1652590" cy="9130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69055</xdr:colOff>
      <xdr:row>0</xdr:row>
      <xdr:rowOff>0</xdr:rowOff>
    </xdr:from>
    <xdr:to>
      <xdr:col>3</xdr:col>
      <xdr:colOff>266699</xdr:colOff>
      <xdr:row>0</xdr:row>
      <xdr:rowOff>591561</xdr:rowOff>
    </xdr:to>
    <xdr:pic>
      <xdr:nvPicPr>
        <xdr:cNvPr id="2" name="Picture 1">
          <a:extLst>
            <a:ext uri="{FF2B5EF4-FFF2-40B4-BE49-F238E27FC236}">
              <a16:creationId xmlns:a16="http://schemas.microsoft.com/office/drawing/2014/main" id="{3F38499E-4C44-4621-8613-FAD123536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055" y="0"/>
          <a:ext cx="1083469" cy="5915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app.powerbi.com/view?r=eyJrIjoiNDcxMzQ3MDQtZTg1Mi00MzBiLWE1MDctYTJmYjdjN2MwNmI2IiwidCI6IjgwZThjOTI3LWNkYTQtNDBhMS05ZWEwLWQ4ZTY0MWZlZGEzNCIsImMiOjl9" TargetMode="External"/><Relationship Id="rId1" Type="http://schemas.openxmlformats.org/officeDocument/2006/relationships/hyperlink" Target="https://kaustforms.formstack.com/forms/cl_world_cup_challenge"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4C895-21B3-4F9A-A1CA-236BD7D8AB74}">
  <dimension ref="A1:A115"/>
  <sheetViews>
    <sheetView workbookViewId="0">
      <pane xSplit="1" ySplit="1" topLeftCell="B2" activePane="bottomRight" state="frozen"/>
      <selection activeCell="D16" sqref="D16"/>
      <selection pane="topRight" activeCell="D16" sqref="D16"/>
      <selection pane="bottomLeft" activeCell="D16" sqref="D16"/>
      <selection pane="bottomRight" activeCell="D16" sqref="D16"/>
    </sheetView>
  </sheetViews>
  <sheetFormatPr defaultColWidth="14" defaultRowHeight="14.25" x14ac:dyDescent="0.45"/>
  <sheetData>
    <row r="1" spans="1:1" x14ac:dyDescent="0.45">
      <c r="A1" t="s">
        <v>0</v>
      </c>
    </row>
    <row r="2" spans="1:1" x14ac:dyDescent="0.45">
      <c r="A2" t="s">
        <v>1</v>
      </c>
    </row>
    <row r="3" spans="1:1" x14ac:dyDescent="0.45">
      <c r="A3" t="s">
        <v>2</v>
      </c>
    </row>
    <row r="4" spans="1:1" x14ac:dyDescent="0.45">
      <c r="A4" t="s">
        <v>3</v>
      </c>
    </row>
    <row r="5" spans="1:1" x14ac:dyDescent="0.45">
      <c r="A5" t="s">
        <v>4</v>
      </c>
    </row>
    <row r="6" spans="1:1" x14ac:dyDescent="0.45">
      <c r="A6" t="s">
        <v>5</v>
      </c>
    </row>
    <row r="7" spans="1:1" x14ac:dyDescent="0.45">
      <c r="A7" t="s">
        <v>6</v>
      </c>
    </row>
    <row r="8" spans="1:1" x14ac:dyDescent="0.45">
      <c r="A8" t="s">
        <v>7</v>
      </c>
    </row>
    <row r="9" spans="1:1" x14ac:dyDescent="0.45">
      <c r="A9" t="s">
        <v>8</v>
      </c>
    </row>
    <row r="10" spans="1:1" x14ac:dyDescent="0.45">
      <c r="A10" t="s">
        <v>9</v>
      </c>
    </row>
    <row r="11" spans="1:1" x14ac:dyDescent="0.45">
      <c r="A11" t="s">
        <v>10</v>
      </c>
    </row>
    <row r="12" spans="1:1" x14ac:dyDescent="0.45">
      <c r="A12" t="s">
        <v>11</v>
      </c>
    </row>
    <row r="13" spans="1:1" x14ac:dyDescent="0.45">
      <c r="A13" t="s">
        <v>12</v>
      </c>
    </row>
    <row r="14" spans="1:1" x14ac:dyDescent="0.45">
      <c r="A14" t="s">
        <v>13</v>
      </c>
    </row>
    <row r="15" spans="1:1" x14ac:dyDescent="0.45">
      <c r="A15" t="s">
        <v>14</v>
      </c>
    </row>
    <row r="18" spans="1:1" x14ac:dyDescent="0.45">
      <c r="A18" t="s">
        <v>15</v>
      </c>
    </row>
    <row r="19" spans="1:1" x14ac:dyDescent="0.45">
      <c r="A19" t="s">
        <v>16</v>
      </c>
    </row>
    <row r="20" spans="1:1" x14ac:dyDescent="0.45">
      <c r="A20" t="s">
        <v>17</v>
      </c>
    </row>
    <row r="21" spans="1:1" x14ac:dyDescent="0.45">
      <c r="A21" t="s">
        <v>18</v>
      </c>
    </row>
    <row r="22" spans="1:1" x14ac:dyDescent="0.45">
      <c r="A22" t="s">
        <v>19</v>
      </c>
    </row>
    <row r="23" spans="1:1" x14ac:dyDescent="0.45">
      <c r="A23" t="s">
        <v>20</v>
      </c>
    </row>
    <row r="24" spans="1:1" x14ac:dyDescent="0.45">
      <c r="A24" t="s">
        <v>21</v>
      </c>
    </row>
    <row r="25" spans="1:1" x14ac:dyDescent="0.45">
      <c r="A25" t="s">
        <v>22</v>
      </c>
    </row>
    <row r="26" spans="1:1" x14ac:dyDescent="0.45">
      <c r="A26" t="s">
        <v>23</v>
      </c>
    </row>
    <row r="27" spans="1:1" x14ac:dyDescent="0.45">
      <c r="A27" t="s">
        <v>24</v>
      </c>
    </row>
    <row r="28" spans="1:1" x14ac:dyDescent="0.45">
      <c r="A28" t="s">
        <v>25</v>
      </c>
    </row>
    <row r="29" spans="1:1" x14ac:dyDescent="0.45">
      <c r="A29" t="s">
        <v>26</v>
      </c>
    </row>
    <row r="30" spans="1:1" x14ac:dyDescent="0.45">
      <c r="A30" t="s">
        <v>27</v>
      </c>
    </row>
    <row r="31" spans="1:1" x14ac:dyDescent="0.45">
      <c r="A31" t="s">
        <v>28</v>
      </c>
    </row>
    <row r="32" spans="1:1" x14ac:dyDescent="0.45">
      <c r="A32" t="s">
        <v>29</v>
      </c>
    </row>
    <row r="33" spans="1:1" x14ac:dyDescent="0.45">
      <c r="A33" t="s">
        <v>30</v>
      </c>
    </row>
    <row r="34" spans="1:1" x14ac:dyDescent="0.45">
      <c r="A34" t="s">
        <v>31</v>
      </c>
    </row>
    <row r="35" spans="1:1" x14ac:dyDescent="0.45">
      <c r="A35" t="s">
        <v>32</v>
      </c>
    </row>
    <row r="36" spans="1:1" x14ac:dyDescent="0.45">
      <c r="A36" t="s">
        <v>33</v>
      </c>
    </row>
    <row r="37" spans="1:1" x14ac:dyDescent="0.45">
      <c r="A37" t="s">
        <v>34</v>
      </c>
    </row>
    <row r="38" spans="1:1" x14ac:dyDescent="0.45">
      <c r="A38" t="s">
        <v>35</v>
      </c>
    </row>
    <row r="39" spans="1:1" x14ac:dyDescent="0.45">
      <c r="A39" t="s">
        <v>36</v>
      </c>
    </row>
    <row r="40" spans="1:1" x14ac:dyDescent="0.45">
      <c r="A40" t="s">
        <v>37</v>
      </c>
    </row>
    <row r="41" spans="1:1" x14ac:dyDescent="0.45">
      <c r="A41" t="s">
        <v>38</v>
      </c>
    </row>
    <row r="42" spans="1:1" x14ac:dyDescent="0.45">
      <c r="A42" t="s">
        <v>39</v>
      </c>
    </row>
    <row r="43" spans="1:1" x14ac:dyDescent="0.45">
      <c r="A43" t="s">
        <v>40</v>
      </c>
    </row>
    <row r="44" spans="1:1" x14ac:dyDescent="0.45">
      <c r="A44" t="s">
        <v>41</v>
      </c>
    </row>
    <row r="45" spans="1:1" x14ac:dyDescent="0.45">
      <c r="A45" t="s">
        <v>42</v>
      </c>
    </row>
    <row r="46" spans="1:1" x14ac:dyDescent="0.45">
      <c r="A46" t="s">
        <v>43</v>
      </c>
    </row>
    <row r="47" spans="1:1" x14ac:dyDescent="0.45">
      <c r="A47" t="s">
        <v>44</v>
      </c>
    </row>
    <row r="48" spans="1:1" x14ac:dyDescent="0.45">
      <c r="A48" t="s">
        <v>45</v>
      </c>
    </row>
    <row r="49" spans="1:1" x14ac:dyDescent="0.45">
      <c r="A49" t="s">
        <v>46</v>
      </c>
    </row>
    <row r="50" spans="1:1" x14ac:dyDescent="0.45">
      <c r="A50" t="s">
        <v>47</v>
      </c>
    </row>
    <row r="51" spans="1:1" x14ac:dyDescent="0.45">
      <c r="A51" t="s">
        <v>48</v>
      </c>
    </row>
    <row r="52" spans="1:1" x14ac:dyDescent="0.45">
      <c r="A52" t="s">
        <v>49</v>
      </c>
    </row>
    <row r="53" spans="1:1" x14ac:dyDescent="0.45">
      <c r="A53" t="s">
        <v>50</v>
      </c>
    </row>
    <row r="54" spans="1:1" x14ac:dyDescent="0.45">
      <c r="A54" t="s">
        <v>51</v>
      </c>
    </row>
    <row r="55" spans="1:1" x14ac:dyDescent="0.45">
      <c r="A55" t="s">
        <v>52</v>
      </c>
    </row>
    <row r="56" spans="1:1" x14ac:dyDescent="0.45">
      <c r="A56" t="s">
        <v>53</v>
      </c>
    </row>
    <row r="57" spans="1:1" x14ac:dyDescent="0.45">
      <c r="A57" t="s">
        <v>54</v>
      </c>
    </row>
    <row r="58" spans="1:1" x14ac:dyDescent="0.45">
      <c r="A58" t="s">
        <v>55</v>
      </c>
    </row>
    <row r="59" spans="1:1" x14ac:dyDescent="0.45">
      <c r="A59" t="s">
        <v>56</v>
      </c>
    </row>
    <row r="60" spans="1:1" x14ac:dyDescent="0.45">
      <c r="A60" t="s">
        <v>57</v>
      </c>
    </row>
    <row r="61" spans="1:1" x14ac:dyDescent="0.45">
      <c r="A61" t="s">
        <v>58</v>
      </c>
    </row>
    <row r="62" spans="1:1" x14ac:dyDescent="0.45">
      <c r="A62" t="s">
        <v>59</v>
      </c>
    </row>
    <row r="63" spans="1:1" x14ac:dyDescent="0.45">
      <c r="A63" t="s">
        <v>60</v>
      </c>
    </row>
    <row r="64" spans="1:1" x14ac:dyDescent="0.45">
      <c r="A64" t="s">
        <v>61</v>
      </c>
    </row>
    <row r="65" spans="1:1" x14ac:dyDescent="0.45">
      <c r="A65" t="s">
        <v>62</v>
      </c>
    </row>
    <row r="66" spans="1:1" x14ac:dyDescent="0.45">
      <c r="A66" t="s">
        <v>63</v>
      </c>
    </row>
    <row r="67" spans="1:1" x14ac:dyDescent="0.45">
      <c r="A67" t="s">
        <v>64</v>
      </c>
    </row>
    <row r="68" spans="1:1" x14ac:dyDescent="0.45">
      <c r="A68" t="s">
        <v>65</v>
      </c>
    </row>
    <row r="69" spans="1:1" x14ac:dyDescent="0.45">
      <c r="A69" t="s">
        <v>66</v>
      </c>
    </row>
    <row r="70" spans="1:1" x14ac:dyDescent="0.45">
      <c r="A70" t="s">
        <v>67</v>
      </c>
    </row>
    <row r="71" spans="1:1" x14ac:dyDescent="0.45">
      <c r="A71" t="s">
        <v>68</v>
      </c>
    </row>
    <row r="72" spans="1:1" x14ac:dyDescent="0.45">
      <c r="A72" t="s">
        <v>69</v>
      </c>
    </row>
    <row r="73" spans="1:1" x14ac:dyDescent="0.45">
      <c r="A73" t="s">
        <v>70</v>
      </c>
    </row>
    <row r="74" spans="1:1" x14ac:dyDescent="0.45">
      <c r="A74" t="s">
        <v>71</v>
      </c>
    </row>
    <row r="75" spans="1:1" x14ac:dyDescent="0.45">
      <c r="A75" t="s">
        <v>72</v>
      </c>
    </row>
    <row r="76" spans="1:1" x14ac:dyDescent="0.45">
      <c r="A76" t="s">
        <v>73</v>
      </c>
    </row>
    <row r="77" spans="1:1" x14ac:dyDescent="0.45">
      <c r="A77" t="s">
        <v>74</v>
      </c>
    </row>
    <row r="78" spans="1:1" x14ac:dyDescent="0.45">
      <c r="A78" t="s">
        <v>75</v>
      </c>
    </row>
    <row r="79" spans="1:1" x14ac:dyDescent="0.45">
      <c r="A79" t="s">
        <v>76</v>
      </c>
    </row>
    <row r="80" spans="1:1" x14ac:dyDescent="0.45">
      <c r="A80" t="s">
        <v>77</v>
      </c>
    </row>
    <row r="81" spans="1:1" x14ac:dyDescent="0.45">
      <c r="A81" t="s">
        <v>78</v>
      </c>
    </row>
    <row r="82" spans="1:1" x14ac:dyDescent="0.45">
      <c r="A82" t="s">
        <v>79</v>
      </c>
    </row>
    <row r="83" spans="1:1" x14ac:dyDescent="0.45">
      <c r="A83" t="s">
        <v>80</v>
      </c>
    </row>
    <row r="84" spans="1:1" x14ac:dyDescent="0.45">
      <c r="A84" t="s">
        <v>81</v>
      </c>
    </row>
    <row r="85" spans="1:1" x14ac:dyDescent="0.45">
      <c r="A85" t="s">
        <v>82</v>
      </c>
    </row>
    <row r="86" spans="1:1" x14ac:dyDescent="0.45">
      <c r="A86" t="s">
        <v>83</v>
      </c>
    </row>
    <row r="87" spans="1:1" x14ac:dyDescent="0.45">
      <c r="A87" t="s">
        <v>84</v>
      </c>
    </row>
    <row r="88" spans="1:1" x14ac:dyDescent="0.45">
      <c r="A88" t="s">
        <v>85</v>
      </c>
    </row>
    <row r="89" spans="1:1" x14ac:dyDescent="0.45">
      <c r="A89" t="s">
        <v>86</v>
      </c>
    </row>
    <row r="90" spans="1:1" x14ac:dyDescent="0.45">
      <c r="A90" t="s">
        <v>87</v>
      </c>
    </row>
    <row r="91" spans="1:1" x14ac:dyDescent="0.45">
      <c r="A91" t="s">
        <v>88</v>
      </c>
    </row>
    <row r="92" spans="1:1" x14ac:dyDescent="0.45">
      <c r="A92" t="s">
        <v>89</v>
      </c>
    </row>
    <row r="93" spans="1:1" x14ac:dyDescent="0.45">
      <c r="A93" t="s">
        <v>90</v>
      </c>
    </row>
    <row r="94" spans="1:1" x14ac:dyDescent="0.45">
      <c r="A94" t="s">
        <v>91</v>
      </c>
    </row>
    <row r="95" spans="1:1" x14ac:dyDescent="0.45">
      <c r="A95" t="s">
        <v>92</v>
      </c>
    </row>
    <row r="96" spans="1:1" x14ac:dyDescent="0.45">
      <c r="A96" t="s">
        <v>93</v>
      </c>
    </row>
    <row r="97" spans="1:1" x14ac:dyDescent="0.45">
      <c r="A97" t="s">
        <v>94</v>
      </c>
    </row>
    <row r="98" spans="1:1" x14ac:dyDescent="0.45">
      <c r="A98" t="s">
        <v>95</v>
      </c>
    </row>
    <row r="99" spans="1:1" x14ac:dyDescent="0.45">
      <c r="A99" t="s">
        <v>96</v>
      </c>
    </row>
    <row r="100" spans="1:1" x14ac:dyDescent="0.45">
      <c r="A100" t="s">
        <v>97</v>
      </c>
    </row>
    <row r="101" spans="1:1" x14ac:dyDescent="0.45">
      <c r="A101" t="s">
        <v>98</v>
      </c>
    </row>
    <row r="102" spans="1:1" x14ac:dyDescent="0.45">
      <c r="A102" t="s">
        <v>99</v>
      </c>
    </row>
    <row r="103" spans="1:1" x14ac:dyDescent="0.45">
      <c r="A103" s="1"/>
    </row>
    <row r="104" spans="1:1" x14ac:dyDescent="0.45">
      <c r="A104" s="1"/>
    </row>
    <row r="105" spans="1:1" x14ac:dyDescent="0.45">
      <c r="A105" s="1"/>
    </row>
    <row r="106" spans="1:1" x14ac:dyDescent="0.45">
      <c r="A106" s="1"/>
    </row>
    <row r="107" spans="1:1" x14ac:dyDescent="0.45">
      <c r="A107" s="1"/>
    </row>
    <row r="108" spans="1:1" x14ac:dyDescent="0.45">
      <c r="A108" s="1"/>
    </row>
    <row r="109" spans="1:1" x14ac:dyDescent="0.45">
      <c r="A109" s="1"/>
    </row>
    <row r="110" spans="1:1" x14ac:dyDescent="0.45">
      <c r="A110" s="1"/>
    </row>
    <row r="111" spans="1:1" x14ac:dyDescent="0.45">
      <c r="A111" s="1"/>
    </row>
    <row r="112" spans="1:1" x14ac:dyDescent="0.45">
      <c r="A112" s="1"/>
    </row>
    <row r="113" spans="1:1" x14ac:dyDescent="0.45">
      <c r="A113" s="1"/>
    </row>
    <row r="114" spans="1:1" x14ac:dyDescent="0.45">
      <c r="A114" s="1"/>
    </row>
    <row r="115" spans="1:1" x14ac:dyDescent="0.45">
      <c r="A115" t="s">
        <v>100</v>
      </c>
    </row>
  </sheetData>
  <sheetProtection algorithmName="SHA-512" hashValue="GBQYcrabLFQSmTvA5xcokcVT6z6RjCM5lsHspmUXhADmJqn+Z3/yBME2L75jnAWD69OF8jsAG58ZGbw6sXFNVQ==" saltValue="l0yO1JmdfLX5btCQ/eto3g=="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8152C-DD43-4278-B083-21BBD2D9043D}">
  <dimension ref="B1:L49"/>
  <sheetViews>
    <sheetView showGridLines="0" workbookViewId="0">
      <selection activeCell="J42" sqref="J42"/>
    </sheetView>
  </sheetViews>
  <sheetFormatPr defaultColWidth="9.1328125" defaultRowHeight="14.25" x14ac:dyDescent="0.45"/>
  <cols>
    <col min="1" max="1" width="1.1328125" style="2" customWidth="1"/>
    <col min="2" max="2" width="18.86328125" style="2" bestFit="1" customWidth="1"/>
    <col min="3" max="3" width="20.265625" style="2" customWidth="1"/>
    <col min="4" max="4" width="9.1328125" style="2"/>
    <col min="5" max="5" width="1.1328125" style="2" customWidth="1"/>
    <col min="6" max="6" width="9.1328125" style="2"/>
    <col min="7" max="7" width="27.59765625" style="2" bestFit="1" customWidth="1"/>
    <col min="8" max="8" width="2.73046875" style="2" customWidth="1"/>
    <col min="9" max="9" width="1.1328125" style="2" customWidth="1"/>
    <col min="10" max="10" width="35.46484375" style="2" bestFit="1" customWidth="1"/>
    <col min="11" max="16384" width="9.1328125" style="2"/>
  </cols>
  <sheetData>
    <row r="1" spans="2:12" ht="7.5" customHeight="1" x14ac:dyDescent="0.45"/>
    <row r="2" spans="2:12" ht="15.75" x14ac:dyDescent="0.5">
      <c r="B2" s="3" t="s">
        <v>101</v>
      </c>
      <c r="C2" s="4"/>
      <c r="D2" s="5"/>
      <c r="F2" s="3" t="s">
        <v>102</v>
      </c>
      <c r="G2" s="4"/>
      <c r="H2" s="5"/>
    </row>
    <row r="3" spans="2:12" ht="9" customHeight="1" x14ac:dyDescent="0.45">
      <c r="B3" s="5"/>
      <c r="C3" s="4"/>
      <c r="D3" s="5"/>
      <c r="F3" s="5"/>
      <c r="G3" s="4"/>
      <c r="H3" s="5"/>
    </row>
    <row r="4" spans="2:12" x14ac:dyDescent="0.45">
      <c r="B4" s="6" t="s">
        <v>103</v>
      </c>
      <c r="C4" s="7" t="s">
        <v>0</v>
      </c>
      <c r="D4" s="5"/>
      <c r="F4" s="5"/>
      <c r="G4" s="5"/>
      <c r="H4" s="5"/>
    </row>
    <row r="5" spans="2:12" x14ac:dyDescent="0.45">
      <c r="B5" s="5"/>
      <c r="C5" s="4"/>
      <c r="D5" s="5"/>
      <c r="F5" s="8" t="s">
        <v>104</v>
      </c>
      <c r="G5" s="5" t="s">
        <v>105</v>
      </c>
      <c r="H5" s="5"/>
    </row>
    <row r="6" spans="2:12" x14ac:dyDescent="0.45">
      <c r="B6" s="6" t="s">
        <v>106</v>
      </c>
      <c r="C6" s="7" t="s">
        <v>107</v>
      </c>
      <c r="D6" s="5"/>
      <c r="F6" s="8" t="s">
        <v>108</v>
      </c>
      <c r="G6" s="5" t="s">
        <v>109</v>
      </c>
      <c r="H6" s="5"/>
    </row>
    <row r="7" spans="2:12" x14ac:dyDescent="0.45">
      <c r="B7" s="5"/>
      <c r="C7" s="4"/>
      <c r="D7" s="5"/>
      <c r="F7" s="8" t="s">
        <v>110</v>
      </c>
      <c r="G7" s="5" t="s">
        <v>111</v>
      </c>
      <c r="H7" s="5"/>
    </row>
    <row r="8" spans="2:12" x14ac:dyDescent="0.45">
      <c r="B8" s="6" t="s">
        <v>112</v>
      </c>
      <c r="C8" s="7" t="s">
        <v>113</v>
      </c>
      <c r="D8" s="5"/>
      <c r="F8" s="8" t="s">
        <v>114</v>
      </c>
      <c r="G8" s="5" t="s">
        <v>115</v>
      </c>
      <c r="H8" s="5"/>
    </row>
    <row r="9" spans="2:12" x14ac:dyDescent="0.45">
      <c r="B9" s="5"/>
      <c r="C9" s="4"/>
      <c r="D9" s="5"/>
      <c r="F9" s="8" t="s">
        <v>116</v>
      </c>
      <c r="G9" s="5" t="s">
        <v>117</v>
      </c>
      <c r="H9" s="5"/>
    </row>
    <row r="10" spans="2:12" x14ac:dyDescent="0.45">
      <c r="B10" s="6" t="s">
        <v>118</v>
      </c>
      <c r="C10" s="7" t="s">
        <v>119</v>
      </c>
      <c r="D10" s="5"/>
      <c r="F10" s="5"/>
      <c r="G10" s="5"/>
      <c r="H10" s="5"/>
    </row>
    <row r="11" spans="2:12" x14ac:dyDescent="0.45">
      <c r="B11" s="5"/>
      <c r="C11" s="4"/>
      <c r="D11" s="5"/>
      <c r="F11" s="5"/>
      <c r="G11" s="4"/>
      <c r="H11" s="5"/>
    </row>
    <row r="12" spans="2:12" x14ac:dyDescent="0.45">
      <c r="B12" s="6" t="s">
        <v>120</v>
      </c>
      <c r="C12" s="7"/>
      <c r="D12" s="5"/>
      <c r="F12" s="9"/>
      <c r="G12" s="9"/>
      <c r="H12" s="9"/>
      <c r="I12" s="9"/>
      <c r="J12" s="9"/>
      <c r="K12" s="10"/>
      <c r="L12" s="10"/>
    </row>
    <row r="13" spans="2:12" ht="9" customHeight="1" x14ac:dyDescent="0.45">
      <c r="B13" s="5"/>
      <c r="C13" s="4"/>
      <c r="D13" s="5"/>
      <c r="F13" s="9"/>
      <c r="G13" s="9"/>
      <c r="H13" s="9"/>
      <c r="I13" s="9"/>
      <c r="J13" s="9"/>
      <c r="K13" s="10"/>
      <c r="L13" s="10"/>
    </row>
    <row r="14" spans="2:12" ht="9" customHeight="1" x14ac:dyDescent="0.45">
      <c r="F14" s="9"/>
      <c r="G14" s="9"/>
      <c r="H14" s="9"/>
      <c r="I14" s="9"/>
      <c r="J14" s="9"/>
      <c r="K14" s="10"/>
      <c r="L14" s="10"/>
    </row>
    <row r="15" spans="2:12" ht="9" customHeight="1" x14ac:dyDescent="0.45">
      <c r="B15" s="11"/>
      <c r="C15" s="11"/>
      <c r="D15" s="5"/>
      <c r="F15" s="9" t="s">
        <v>121</v>
      </c>
      <c r="G15" s="9">
        <f>IF(ISERROR(MATCH(C4,lang_list,0)),1,MATCH(C4,lang_list,0))</f>
        <v>1</v>
      </c>
      <c r="H15" s="9"/>
      <c r="I15" s="9" t="str">
        <f>IFERROR(VLOOKUP(C12,T,lang,FALSE),"")</f>
        <v/>
      </c>
      <c r="J15" s="9"/>
      <c r="K15" s="10"/>
      <c r="L15" s="10"/>
    </row>
    <row r="16" spans="2:12" ht="15.75" x14ac:dyDescent="0.5">
      <c r="B16" s="5"/>
      <c r="C16" s="12" t="s">
        <v>117</v>
      </c>
      <c r="D16" s="5"/>
      <c r="F16" s="9" t="s">
        <v>122</v>
      </c>
      <c r="G16" s="9" t="e">
        <f>TIME(VLOOKUP(C8,F18:G41,2,FALSE),VLOOKUP(C10,F43:G46,2,FALSE),0)+IF(C6="Yes",TIME(1,0,0),0)</f>
        <v>#N/A</v>
      </c>
      <c r="H16" s="9"/>
      <c r="I16" s="9"/>
      <c r="J16" s="9"/>
      <c r="K16" s="10"/>
      <c r="L16" s="10"/>
    </row>
    <row r="17" spans="2:12" x14ac:dyDescent="0.45">
      <c r="B17" s="13" t="str">
        <f>VLOOKUP("Brazil",T,lang,FALSE)</f>
        <v>Brazil</v>
      </c>
      <c r="C17" s="14">
        <v>1832.69</v>
      </c>
      <c r="D17" s="5"/>
      <c r="F17" s="13" t="str">
        <f>VLOOKUP("Argentina",T,lang,FALSE)</f>
        <v>Argentina</v>
      </c>
      <c r="G17" s="9"/>
      <c r="H17" s="9"/>
      <c r="I17" s="9" t="s">
        <v>43</v>
      </c>
      <c r="J17" s="15" t="s">
        <v>123</v>
      </c>
      <c r="K17" s="10"/>
      <c r="L17" s="10"/>
    </row>
    <row r="18" spans="2:12" x14ac:dyDescent="0.45">
      <c r="B18" s="13" t="str">
        <f>VLOOKUP("Belgium",T,lang,FALSE)</f>
        <v>Belgium</v>
      </c>
      <c r="C18" s="14">
        <v>1827</v>
      </c>
      <c r="D18" s="5"/>
      <c r="F18" s="13" t="str">
        <f>VLOOKUP("Australia",T,lang,FALSE)</f>
        <v>Australia</v>
      </c>
      <c r="G18" s="9">
        <v>0</v>
      </c>
      <c r="H18" s="9"/>
      <c r="I18" s="9" t="s">
        <v>48</v>
      </c>
      <c r="J18" s="15" t="s">
        <v>124</v>
      </c>
      <c r="K18" s="10"/>
      <c r="L18" s="10"/>
    </row>
    <row r="19" spans="2:12" x14ac:dyDescent="0.45">
      <c r="B19" s="13" t="str">
        <f>VLOOKUP("France",T,lang,FALSE)</f>
        <v>France</v>
      </c>
      <c r="C19" s="14">
        <v>1790</v>
      </c>
      <c r="D19" s="5"/>
      <c r="F19" s="13" t="str">
        <f>VLOOKUP("Belgium",T,lang,FALSE)</f>
        <v>Belgium</v>
      </c>
      <c r="G19" s="9">
        <v>1</v>
      </c>
      <c r="H19" s="9"/>
      <c r="I19" s="9" t="s">
        <v>55</v>
      </c>
      <c r="J19" s="15" t="s">
        <v>125</v>
      </c>
      <c r="K19" s="10"/>
      <c r="L19" s="10"/>
    </row>
    <row r="20" spans="2:12" x14ac:dyDescent="0.45">
      <c r="B20" s="13" t="str">
        <f>VLOOKUP("Argentina",T,lang,FALSE)</f>
        <v>Argentina</v>
      </c>
      <c r="C20" s="14">
        <v>1765</v>
      </c>
      <c r="D20" s="5"/>
      <c r="F20" s="13" t="str">
        <f>VLOOKUP("Brazil",T,lang,FALSE)</f>
        <v>Brazil</v>
      </c>
      <c r="G20" s="9">
        <v>2</v>
      </c>
      <c r="H20" s="9"/>
      <c r="I20" s="9" t="s">
        <v>59</v>
      </c>
      <c r="J20" s="15" t="s">
        <v>126</v>
      </c>
      <c r="K20" s="10"/>
      <c r="L20" s="10"/>
    </row>
    <row r="21" spans="2:12" x14ac:dyDescent="0.45">
      <c r="B21" s="13" t="str">
        <f>VLOOKUP("England",T,lang,FALSE)</f>
        <v>England</v>
      </c>
      <c r="C21" s="14">
        <v>1762</v>
      </c>
      <c r="D21" s="5"/>
      <c r="F21" s="13" t="str">
        <f>VLOOKUP("Cameroon",T,lang,FALSE)</f>
        <v>Cameroon</v>
      </c>
      <c r="G21" s="9">
        <v>3</v>
      </c>
      <c r="H21" s="9"/>
      <c r="I21" s="9" t="s">
        <v>62</v>
      </c>
      <c r="J21" s="15" t="s">
        <v>127</v>
      </c>
      <c r="K21" s="10"/>
      <c r="L21" s="10"/>
    </row>
    <row r="22" spans="2:12" x14ac:dyDescent="0.45">
      <c r="B22" s="13" t="str">
        <f>VLOOKUP("Spain",T,lang,FALSE)</f>
        <v>Spain</v>
      </c>
      <c r="C22" s="14">
        <v>1709</v>
      </c>
      <c r="D22" s="5"/>
      <c r="F22" s="13" t="str">
        <f>VLOOKUP("Canada",T,lang,FALSE)</f>
        <v>Canada</v>
      </c>
      <c r="G22" s="9">
        <v>4</v>
      </c>
      <c r="H22" s="9"/>
      <c r="I22" s="9" t="s">
        <v>56</v>
      </c>
      <c r="J22" s="15" t="s">
        <v>128</v>
      </c>
      <c r="K22" s="10"/>
      <c r="L22" s="10"/>
    </row>
    <row r="23" spans="2:12" x14ac:dyDescent="0.45">
      <c r="B23" s="13" t="str">
        <f>VLOOKUP("Portugal",T,lang,FALSE)</f>
        <v>Portugal</v>
      </c>
      <c r="C23" s="14">
        <v>1674.78</v>
      </c>
      <c r="D23" s="5"/>
      <c r="F23" s="13" t="str">
        <f>VLOOKUP("Costa Rica",T,lang,FALSE)</f>
        <v>Costa Rica</v>
      </c>
      <c r="G23" s="9">
        <v>5</v>
      </c>
      <c r="H23" s="9"/>
      <c r="I23" s="9" t="s">
        <v>52</v>
      </c>
      <c r="J23" s="15" t="s">
        <v>129</v>
      </c>
      <c r="K23" s="10"/>
      <c r="L23" s="10"/>
    </row>
    <row r="24" spans="2:12" x14ac:dyDescent="0.45">
      <c r="B24" s="13" t="str">
        <f>VLOOKUP("Mexico",T,lang,FALSE)</f>
        <v>Mexico</v>
      </c>
      <c r="C24" s="14">
        <v>1658.82</v>
      </c>
      <c r="D24" s="5"/>
      <c r="F24" s="13" t="str">
        <f>VLOOKUP("Croatia",T,lang,FALSE)</f>
        <v>Croatia</v>
      </c>
      <c r="G24" s="9">
        <v>6</v>
      </c>
      <c r="H24" s="9"/>
      <c r="I24" s="9" t="s">
        <v>58</v>
      </c>
      <c r="J24" s="15" t="s">
        <v>130</v>
      </c>
      <c r="K24" s="10"/>
      <c r="L24" s="10"/>
    </row>
    <row r="25" spans="2:12" x14ac:dyDescent="0.45">
      <c r="B25" s="13" t="str">
        <f>VLOOKUP("Netherlands",T,lang,FALSE)</f>
        <v>Netherlands</v>
      </c>
      <c r="C25" s="14">
        <v>1658.66</v>
      </c>
      <c r="D25" s="5"/>
      <c r="F25" s="13" t="str">
        <f>VLOOKUP("Denmark",T,lang,FALSE)</f>
        <v>Denmark</v>
      </c>
      <c r="G25" s="9">
        <v>7</v>
      </c>
      <c r="H25" s="9"/>
      <c r="I25" s="9" t="s">
        <v>49</v>
      </c>
      <c r="J25" s="15" t="s">
        <v>131</v>
      </c>
      <c r="K25" s="10"/>
      <c r="L25" s="10"/>
    </row>
    <row r="26" spans="2:12" x14ac:dyDescent="0.45">
      <c r="B26" s="13" t="str">
        <f>VLOOKUP("Denmark",T,lang,FALSE)</f>
        <v>Denmark</v>
      </c>
      <c r="C26" s="14">
        <v>1653.6</v>
      </c>
      <c r="D26" s="5"/>
      <c r="F26" s="13" t="str">
        <f>VLOOKUP("Ecuador",T,lang,FALSE)</f>
        <v>Ecuador</v>
      </c>
      <c r="G26" s="9">
        <v>8</v>
      </c>
      <c r="H26" s="9"/>
      <c r="I26" s="9" t="s">
        <v>37</v>
      </c>
      <c r="J26" s="15" t="s">
        <v>132</v>
      </c>
      <c r="K26" s="10"/>
      <c r="L26" s="10"/>
    </row>
    <row r="27" spans="2:12" x14ac:dyDescent="0.45">
      <c r="B27" s="13" t="str">
        <f>VLOOKUP("Germany",T,lang,FALSE)</f>
        <v>Germany</v>
      </c>
      <c r="C27" s="14">
        <v>1650.53</v>
      </c>
      <c r="D27" s="5"/>
      <c r="F27" s="13" t="str">
        <f>VLOOKUP("England",T,lang,FALSE)</f>
        <v>England</v>
      </c>
      <c r="G27" s="9">
        <v>9</v>
      </c>
      <c r="H27" s="9"/>
      <c r="I27" s="9" t="s">
        <v>39</v>
      </c>
      <c r="J27" s="15" t="s">
        <v>133</v>
      </c>
      <c r="K27" s="10"/>
      <c r="L27" s="10"/>
    </row>
    <row r="28" spans="2:12" x14ac:dyDescent="0.45">
      <c r="B28" s="13" t="str">
        <f>VLOOKUP("Uruguay",T,lang,FALSE)</f>
        <v>Uruguay</v>
      </c>
      <c r="C28" s="14">
        <v>1635.73</v>
      </c>
      <c r="D28" s="5"/>
      <c r="F28" s="13" t="str">
        <f>VLOOKUP("France",T,lang,FALSE)</f>
        <v>France</v>
      </c>
      <c r="G28" s="9">
        <v>10</v>
      </c>
      <c r="H28" s="9"/>
      <c r="I28" s="9" t="s">
        <v>47</v>
      </c>
      <c r="J28" s="15" t="s">
        <v>134</v>
      </c>
      <c r="K28" s="10"/>
      <c r="L28" s="10"/>
    </row>
    <row r="29" spans="2:12" x14ac:dyDescent="0.45">
      <c r="B29" s="13" t="str">
        <f>VLOOKUP("Switzerland",T,lang,FALSE)</f>
        <v>Switzerland</v>
      </c>
      <c r="C29" s="14">
        <v>1635.32</v>
      </c>
      <c r="D29" s="5"/>
      <c r="F29" s="13" t="str">
        <f>VLOOKUP("Germany",T,lang,FALSE)</f>
        <v>Germany</v>
      </c>
      <c r="G29" s="9">
        <v>11</v>
      </c>
      <c r="H29" s="9"/>
      <c r="I29" s="9" t="s">
        <v>53</v>
      </c>
      <c r="J29" s="15" t="s">
        <v>135</v>
      </c>
      <c r="K29" s="10"/>
      <c r="L29" s="10"/>
    </row>
    <row r="30" spans="2:12" x14ac:dyDescent="0.45">
      <c r="B30" s="13" t="str">
        <f>VLOOKUP("United States",T,lang,FALSE)</f>
        <v>United States</v>
      </c>
      <c r="C30" s="14">
        <v>1633.72</v>
      </c>
      <c r="D30" s="5"/>
      <c r="F30" s="13" t="str">
        <f>VLOOKUP("Ghana",T,lang,FALSE)</f>
        <v>Ghana</v>
      </c>
      <c r="G30" s="9">
        <v>12</v>
      </c>
      <c r="H30" s="9"/>
      <c r="I30" s="9" t="s">
        <v>64</v>
      </c>
      <c r="J30" s="15" t="s">
        <v>136</v>
      </c>
      <c r="K30" s="10"/>
      <c r="L30" s="10"/>
    </row>
    <row r="31" spans="2:12" x14ac:dyDescent="0.45">
      <c r="B31" s="13" t="str">
        <f>VLOOKUP("Croatia",T,lang,FALSE)</f>
        <v>Croatia</v>
      </c>
      <c r="C31" s="14">
        <v>1621.11</v>
      </c>
      <c r="D31" s="5"/>
      <c r="F31" s="13" t="str">
        <f>VLOOKUP("Iran",T,lang,FALSE)</f>
        <v>Iran</v>
      </c>
      <c r="G31" s="9">
        <v>13</v>
      </c>
      <c r="H31" s="9"/>
      <c r="I31" s="9" t="s">
        <v>40</v>
      </c>
      <c r="J31" s="15" t="s">
        <v>137</v>
      </c>
      <c r="K31" s="10"/>
      <c r="L31" s="10"/>
    </row>
    <row r="32" spans="2:12" x14ac:dyDescent="0.45">
      <c r="B32" s="13" t="str">
        <f>VLOOKUP("Senegal",T,lang,FALSE)</f>
        <v>Senegal</v>
      </c>
      <c r="C32" s="14">
        <v>1584.16</v>
      </c>
      <c r="D32" s="5"/>
      <c r="F32" s="13" t="str">
        <f>VLOOKUP("Japan",T,lang,FALSE)</f>
        <v>Japan</v>
      </c>
      <c r="G32" s="9">
        <v>14</v>
      </c>
      <c r="H32" s="9"/>
      <c r="I32" s="9" t="s">
        <v>54</v>
      </c>
      <c r="J32" s="15" t="s">
        <v>138</v>
      </c>
      <c r="K32" s="10"/>
      <c r="L32" s="10"/>
    </row>
    <row r="33" spans="2:12" x14ac:dyDescent="0.45">
      <c r="B33" s="13" t="str">
        <f>VLOOKUP("Wales",T,lang,FALSE)</f>
        <v>Wales</v>
      </c>
      <c r="C33" s="14">
        <v>1582.13</v>
      </c>
      <c r="D33" s="5"/>
      <c r="F33" s="13" t="str">
        <f>VLOOKUP("Korea Republic",T,lang,FALSE)</f>
        <v>Korea Republic</v>
      </c>
      <c r="G33" s="9">
        <v>15</v>
      </c>
      <c r="H33" s="9"/>
      <c r="I33" s="9" t="s">
        <v>66</v>
      </c>
      <c r="J33" s="15" t="s">
        <v>139</v>
      </c>
      <c r="K33" s="10"/>
      <c r="L33" s="10"/>
    </row>
    <row r="34" spans="2:12" x14ac:dyDescent="0.45">
      <c r="B34" s="13" t="str">
        <f>VLOOKUP("Iran",T,lang,FALSE)</f>
        <v>Iran</v>
      </c>
      <c r="C34" s="14">
        <v>1564</v>
      </c>
      <c r="D34" s="5"/>
      <c r="F34" s="13" t="str">
        <f>VLOOKUP("Mexico",T,lang,FALSE)</f>
        <v>Mexico</v>
      </c>
      <c r="G34" s="9">
        <v>16</v>
      </c>
      <c r="H34" s="9"/>
      <c r="I34" s="9" t="s">
        <v>45</v>
      </c>
      <c r="J34" s="15" t="s">
        <v>218</v>
      </c>
      <c r="K34" s="10"/>
      <c r="L34" s="10"/>
    </row>
    <row r="35" spans="2:12" x14ac:dyDescent="0.45">
      <c r="B35" s="13" t="str">
        <f>VLOOKUP("Japan",T,lang,FALSE)</f>
        <v>Japan</v>
      </c>
      <c r="C35" s="14">
        <v>1553.44</v>
      </c>
      <c r="D35" s="5"/>
      <c r="F35" s="13" t="str">
        <f>VLOOKUP("Morocco",T,lang,FALSE)</f>
        <v>Morocco</v>
      </c>
      <c r="G35" s="9">
        <v>17</v>
      </c>
      <c r="H35" s="9"/>
      <c r="I35" s="9" t="s">
        <v>57</v>
      </c>
      <c r="J35" s="144" t="s">
        <v>217</v>
      </c>
      <c r="K35" s="10"/>
      <c r="L35" s="10"/>
    </row>
    <row r="36" spans="2:12" x14ac:dyDescent="0.45">
      <c r="B36" s="13" t="str">
        <f>VLOOKUP("Morocco",T,lang,FALSE)</f>
        <v>Morocco</v>
      </c>
      <c r="C36" s="14">
        <v>1551.88</v>
      </c>
      <c r="D36" s="5"/>
      <c r="F36" s="13" t="str">
        <f>VLOOKUP("Netherlands",T,lang,FALSE)</f>
        <v>Netherlands</v>
      </c>
      <c r="G36" s="9">
        <v>18</v>
      </c>
      <c r="H36" s="9"/>
      <c r="I36" s="9" t="s">
        <v>38</v>
      </c>
      <c r="J36" s="16" t="s">
        <v>140</v>
      </c>
      <c r="K36" s="10"/>
      <c r="L36" s="10"/>
    </row>
    <row r="37" spans="2:12" x14ac:dyDescent="0.45">
      <c r="B37" s="13" t="str">
        <f>VLOOKUP("Serbia",T,lang,FALSE)</f>
        <v>Serbia</v>
      </c>
      <c r="C37" s="14">
        <v>1547.53</v>
      </c>
      <c r="D37" s="5"/>
      <c r="F37" s="13" t="str">
        <f>VLOOKUP("Poland",T,lang,FALSE)</f>
        <v>Poland</v>
      </c>
      <c r="G37" s="9">
        <v>19</v>
      </c>
      <c r="H37" s="9"/>
      <c r="I37" s="9" t="s">
        <v>46</v>
      </c>
      <c r="J37" s="16" t="s">
        <v>141</v>
      </c>
      <c r="K37" s="10"/>
      <c r="L37" s="10"/>
    </row>
    <row r="38" spans="2:12" x14ac:dyDescent="0.45">
      <c r="B38" s="13" t="str">
        <f>VLOOKUP("Poland",T,lang,FALSE)</f>
        <v>Poland</v>
      </c>
      <c r="C38" s="14">
        <v>1544</v>
      </c>
      <c r="D38" s="5"/>
      <c r="F38" s="13" t="str">
        <f>VLOOKUP("Portugal",T,lang,FALSE)</f>
        <v>Portugal</v>
      </c>
      <c r="G38" s="9">
        <v>20</v>
      </c>
      <c r="H38" s="9"/>
      <c r="I38" s="9" t="s">
        <v>63</v>
      </c>
      <c r="J38" s="9"/>
      <c r="K38" s="10"/>
      <c r="L38" s="10"/>
    </row>
    <row r="39" spans="2:12" x14ac:dyDescent="0.45">
      <c r="B39" s="13" t="str">
        <f>VLOOKUP("Korea Republic",T,lang,FALSE)</f>
        <v>Korea Republic</v>
      </c>
      <c r="C39" s="14">
        <v>1519.54</v>
      </c>
      <c r="D39" s="5"/>
      <c r="F39" s="13" t="str">
        <f>VLOOKUP("Qatar",T,lang,FALSE)</f>
        <v>Qatar</v>
      </c>
      <c r="G39" s="9">
        <v>21</v>
      </c>
      <c r="H39" s="9"/>
      <c r="I39" s="9" t="s">
        <v>36</v>
      </c>
      <c r="J39" s="9"/>
      <c r="K39" s="10"/>
      <c r="L39" s="10"/>
    </row>
    <row r="40" spans="2:12" x14ac:dyDescent="0.45">
      <c r="B40" s="13" t="str">
        <f>VLOOKUP("Costa Rica",T,lang,FALSE)</f>
        <v>Costa Rica</v>
      </c>
      <c r="C40" s="14">
        <v>1500.06</v>
      </c>
      <c r="D40" s="5"/>
      <c r="F40" s="13" t="str">
        <f>VLOOKUP("Saudi Arabia",T,lang,FALSE)</f>
        <v>Saudi Arabia</v>
      </c>
      <c r="G40" s="9">
        <v>22</v>
      </c>
      <c r="H40" s="9"/>
      <c r="I40" s="9" t="s">
        <v>44</v>
      </c>
      <c r="J40" s="9"/>
      <c r="K40" s="10"/>
      <c r="L40" s="10"/>
    </row>
    <row r="41" spans="2:12" x14ac:dyDescent="0.45">
      <c r="B41" s="13" t="str">
        <f>VLOOKUP("Tunisia",T,lang,FALSE)</f>
        <v>Tunisia</v>
      </c>
      <c r="C41" s="14">
        <v>1499.8</v>
      </c>
      <c r="D41" s="5"/>
      <c r="F41" s="13" t="str">
        <f>VLOOKUP("Senegal",T,lang,FALSE)</f>
        <v>Senegal</v>
      </c>
      <c r="G41" s="9">
        <v>23</v>
      </c>
      <c r="H41" s="9"/>
      <c r="I41" s="9" t="s">
        <v>35</v>
      </c>
      <c r="J41" s="9"/>
      <c r="K41" s="10"/>
      <c r="L41" s="10"/>
    </row>
    <row r="42" spans="2:12" x14ac:dyDescent="0.45">
      <c r="B42" s="13" t="str">
        <f>VLOOKUP("Australia",T,lang,FALSE)</f>
        <v>Australia</v>
      </c>
      <c r="C42" s="14">
        <v>1483.73</v>
      </c>
      <c r="D42" s="5"/>
      <c r="F42" s="13" t="str">
        <f>VLOOKUP("Serbia",T,lang,FALSE)</f>
        <v>Serbia</v>
      </c>
      <c r="G42" s="9"/>
      <c r="H42" s="9"/>
      <c r="I42" s="9" t="s">
        <v>60</v>
      </c>
      <c r="J42" s="9"/>
      <c r="K42" s="10"/>
      <c r="L42" s="10"/>
    </row>
    <row r="43" spans="2:12" x14ac:dyDescent="0.45">
      <c r="B43" s="13" t="str">
        <f>VLOOKUP("Cameroon",T,lang,FALSE)</f>
        <v>Cameroon</v>
      </c>
      <c r="C43" s="14">
        <v>1480.48</v>
      </c>
      <c r="D43" s="5"/>
      <c r="F43" s="13" t="str">
        <f>VLOOKUP("Spain",T,lang,FALSE)</f>
        <v>Spain</v>
      </c>
      <c r="G43" s="9">
        <v>0</v>
      </c>
      <c r="H43" s="9"/>
      <c r="I43" s="9" t="s">
        <v>51</v>
      </c>
      <c r="J43" s="9"/>
      <c r="K43" s="10"/>
      <c r="L43" s="10"/>
    </row>
    <row r="44" spans="2:12" x14ac:dyDescent="0.45">
      <c r="B44" s="13" t="str">
        <f>VLOOKUP("Canada",T,lang,FALSE)</f>
        <v>Canada</v>
      </c>
      <c r="C44" s="14">
        <v>1479</v>
      </c>
      <c r="D44" s="5"/>
      <c r="F44" s="13" t="str">
        <f>VLOOKUP("Switzerland",T,lang,FALSE)</f>
        <v>Switzerland</v>
      </c>
      <c r="G44" s="9">
        <v>15</v>
      </c>
      <c r="H44" s="9"/>
      <c r="I44" s="9" t="s">
        <v>61</v>
      </c>
      <c r="J44" s="9"/>
      <c r="K44" s="10"/>
      <c r="L44" s="10"/>
    </row>
    <row r="45" spans="2:12" x14ac:dyDescent="0.45">
      <c r="B45" s="13" t="str">
        <f>VLOOKUP("Ecuador",T,lang,FALSE)</f>
        <v>Ecuador</v>
      </c>
      <c r="C45" s="14">
        <v>1453</v>
      </c>
      <c r="D45" s="5"/>
      <c r="F45" s="13" t="str">
        <f>VLOOKUP("Tunisia",T,lang,FALSE)</f>
        <v>Tunisia</v>
      </c>
      <c r="G45" s="9">
        <v>30</v>
      </c>
      <c r="H45" s="9"/>
      <c r="I45" s="9" t="s">
        <v>50</v>
      </c>
      <c r="J45" s="9"/>
      <c r="K45" s="10"/>
      <c r="L45" s="10"/>
    </row>
    <row r="46" spans="2:12" x14ac:dyDescent="0.45">
      <c r="B46" s="13" t="str">
        <f>VLOOKUP("Saudi Arabia",T,lang,FALSE)</f>
        <v>Saudi Arabia</v>
      </c>
      <c r="C46" s="14">
        <v>1445</v>
      </c>
      <c r="D46" s="5"/>
      <c r="F46" s="13" t="str">
        <f>VLOOKUP("United States",T,lang,FALSE)</f>
        <v>United States</v>
      </c>
      <c r="G46" s="9">
        <v>45</v>
      </c>
      <c r="H46" s="9"/>
      <c r="I46" s="9" t="s">
        <v>41</v>
      </c>
      <c r="J46" s="9"/>
      <c r="K46" s="10"/>
      <c r="L46" s="10"/>
    </row>
    <row r="47" spans="2:12" x14ac:dyDescent="0.45">
      <c r="B47" s="13" t="str">
        <f>VLOOKUP("Qatar",T,lang,FALSE)</f>
        <v>Qatar</v>
      </c>
      <c r="C47" s="14">
        <v>1441</v>
      </c>
      <c r="D47" s="5"/>
      <c r="F47" s="13" t="str">
        <f>VLOOKUP("Uruguay",T,lang,FALSE)</f>
        <v>Uruguay</v>
      </c>
      <c r="G47" s="9"/>
      <c r="H47" s="9"/>
      <c r="I47" s="9" t="s">
        <v>65</v>
      </c>
      <c r="J47" s="9"/>
      <c r="K47" s="10"/>
      <c r="L47" s="10"/>
    </row>
    <row r="48" spans="2:12" x14ac:dyDescent="0.45">
      <c r="B48" s="13" t="str">
        <f>VLOOKUP("Ghana",T,lang,FALSE)</f>
        <v>Ghana</v>
      </c>
      <c r="C48" s="14">
        <v>1387.36</v>
      </c>
      <c r="D48" s="5"/>
      <c r="F48" s="13" t="str">
        <f>VLOOKUP("Wales",T,lang,FALSE)</f>
        <v>Wales</v>
      </c>
      <c r="G48" s="9">
        <f>IF(G4="Type 2",0,1)</f>
        <v>1</v>
      </c>
      <c r="H48" s="9"/>
      <c r="I48" s="9" t="s">
        <v>42</v>
      </c>
      <c r="J48" s="9"/>
      <c r="K48" s="10"/>
      <c r="L48" s="10"/>
    </row>
    <row r="49" spans="2:12" x14ac:dyDescent="0.45">
      <c r="B49" s="5"/>
      <c r="C49" s="4"/>
      <c r="D49" s="5"/>
      <c r="F49" s="17" t="s">
        <v>142</v>
      </c>
      <c r="G49" s="9"/>
      <c r="H49" s="9"/>
      <c r="I49" s="9"/>
      <c r="J49" s="9"/>
      <c r="K49" s="10"/>
      <c r="L49" s="10"/>
    </row>
  </sheetData>
  <sheetProtection algorithmName="SHA-512" hashValue="YxV8Xu3lmPyqh68ZEAQHsG8UVjUcIPqqolDQhsHI+uMYfatJmMTcUllOPjeBGmdUhhkA8rxaGoBEhZvmHmyvRQ==" saltValue="Q3B3aDszLaBf0RROntOyKw==" spinCount="100000" sheet="1" objects="1" scenarios="1"/>
  <dataValidations count="5">
    <dataValidation type="list" allowBlank="1" showInputMessage="1" showErrorMessage="1" promptTitle="Select Your Favorite Team" prompt="Use drop-down List" sqref="C12" xr:uid="{B9D6112B-9CA3-4C38-BBEF-B4E025E5C438}">
      <formula1>teams</formula1>
    </dataValidation>
    <dataValidation type="list" allowBlank="1" showInputMessage="1" showErrorMessage="1" promptTitle="Select Minutes" prompt="Use drop-down List" sqref="C10" xr:uid="{26EBF357-7F52-4E14-9B22-C5CA00765888}">
      <formula1>$F$43:$F$46</formula1>
    </dataValidation>
    <dataValidation type="list" allowBlank="1" showInputMessage="1" showErrorMessage="1" promptTitle="Select GTM-time" prompt="Use drop-down List" sqref="C8" xr:uid="{534830B5-BF37-4B46-BA9A-AF2EFA142005}">
      <formula1>$F$18:$F$41</formula1>
    </dataValidation>
    <dataValidation type="list" allowBlank="1" showInputMessage="1" showErrorMessage="1" promptTitle="Select Summer Time" prompt="Use drop-down List" sqref="C6" xr:uid="{CE8C226C-3910-496C-BF59-7588B5AB7961}">
      <formula1>"Yes,No"</formula1>
    </dataValidation>
    <dataValidation type="list" allowBlank="1" showInputMessage="1" showErrorMessage="1" promptTitle="Select Language" prompt="Use drop-down List" sqref="C4" xr:uid="{D2B11BBF-6E9C-4A0F-A987-7CE0081C21AC}">
      <formula1>lang_list</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FC448-2B2C-4C28-B1B3-521B2E289628}">
  <sheetPr>
    <pageSetUpPr fitToPage="1"/>
  </sheetPr>
  <dimension ref="A1:N34"/>
  <sheetViews>
    <sheetView showGridLines="0" showRowColHeaders="0" tabSelected="1" workbookViewId="0">
      <selection activeCell="D26" sqref="D26"/>
    </sheetView>
  </sheetViews>
  <sheetFormatPr defaultColWidth="0" defaultRowHeight="14.25" customHeight="1" zeroHeight="1" x14ac:dyDescent="0.45"/>
  <cols>
    <col min="1" max="1" width="2.9296875" customWidth="1"/>
    <col min="2" max="2" width="3.06640625" customWidth="1"/>
    <col min="3" max="3" width="35.9296875" customWidth="1"/>
    <col min="4" max="4" width="53.33203125" customWidth="1"/>
    <col min="5" max="6" width="7.53125" customWidth="1"/>
    <col min="7" max="11" width="9.06640625" customWidth="1"/>
    <col min="12" max="12" width="7.59765625" customWidth="1"/>
    <col min="13" max="13" width="3" customWidth="1"/>
    <col min="14" max="14" width="3" hidden="1" customWidth="1"/>
    <col min="15" max="16384" width="9.06640625" hidden="1"/>
  </cols>
  <sheetData>
    <row r="1" spans="1:14" ht="6" customHeight="1" x14ac:dyDescent="0.45">
      <c r="A1" s="18"/>
      <c r="B1" s="18"/>
      <c r="C1" s="18"/>
      <c r="D1" s="18"/>
      <c r="E1" s="18"/>
      <c r="F1" s="18"/>
      <c r="G1" s="18"/>
      <c r="H1" s="18"/>
      <c r="I1" s="18"/>
      <c r="J1" s="18"/>
      <c r="K1" s="18"/>
      <c r="L1" s="18"/>
      <c r="M1" s="18"/>
      <c r="N1" s="18"/>
    </row>
    <row r="2" spans="1:14" ht="14.25" customHeight="1" x14ac:dyDescent="0.45">
      <c r="A2" s="18"/>
      <c r="B2" s="18"/>
      <c r="C2" s="160" t="s">
        <v>233</v>
      </c>
      <c r="D2" s="160"/>
      <c r="E2" s="160"/>
      <c r="F2" s="19"/>
      <c r="G2" s="18"/>
      <c r="H2" s="18"/>
      <c r="I2" s="18"/>
      <c r="J2" s="18"/>
      <c r="K2" s="18"/>
      <c r="L2" s="18"/>
      <c r="M2" s="18"/>
      <c r="N2" s="18"/>
    </row>
    <row r="3" spans="1:14" ht="14.25" customHeight="1" x14ac:dyDescent="0.45">
      <c r="A3" s="18"/>
      <c r="B3" s="18"/>
      <c r="C3" s="160"/>
      <c r="D3" s="160"/>
      <c r="E3" s="160"/>
      <c r="F3" s="19"/>
      <c r="G3" s="18"/>
      <c r="H3" s="18"/>
      <c r="I3" s="18"/>
      <c r="J3" s="18"/>
      <c r="K3" s="18"/>
      <c r="L3" s="18"/>
      <c r="M3" s="18"/>
      <c r="N3" s="18"/>
    </row>
    <row r="4" spans="1:14" ht="14.25" customHeight="1" x14ac:dyDescent="0.45">
      <c r="A4" s="18"/>
      <c r="B4" s="18"/>
      <c r="C4" s="160"/>
      <c r="D4" s="160"/>
      <c r="E4" s="160"/>
      <c r="F4" s="19"/>
      <c r="G4" s="18"/>
      <c r="H4" s="18"/>
      <c r="I4" s="18"/>
      <c r="J4" s="18"/>
      <c r="K4" s="18"/>
      <c r="L4" s="18"/>
      <c r="M4" s="18"/>
      <c r="N4" s="18"/>
    </row>
    <row r="5" spans="1:14" ht="14.25" customHeight="1" x14ac:dyDescent="0.45">
      <c r="A5" s="18"/>
      <c r="B5" s="18"/>
      <c r="C5" s="160"/>
      <c r="D5" s="160"/>
      <c r="E5" s="160"/>
      <c r="F5" s="19"/>
      <c r="G5" s="18"/>
      <c r="H5" s="18"/>
      <c r="I5" s="18"/>
      <c r="J5" s="18"/>
      <c r="K5" s="18"/>
      <c r="L5" s="18"/>
      <c r="M5" s="18"/>
      <c r="N5" s="18"/>
    </row>
    <row r="6" spans="1:14" ht="14.25" customHeight="1" x14ac:dyDescent="0.45">
      <c r="A6" s="18"/>
      <c r="B6" s="18"/>
      <c r="C6" s="160"/>
      <c r="D6" s="160"/>
      <c r="E6" s="160"/>
      <c r="F6" s="19"/>
      <c r="G6" s="18"/>
      <c r="H6" s="18"/>
      <c r="I6" s="18"/>
      <c r="J6" s="18"/>
      <c r="K6" s="18"/>
      <c r="L6" s="18"/>
      <c r="M6" s="18"/>
      <c r="N6" s="18"/>
    </row>
    <row r="7" spans="1:14" ht="4.5" customHeight="1" x14ac:dyDescent="0.45">
      <c r="A7" s="18"/>
      <c r="B7" s="18"/>
      <c r="C7" s="18"/>
      <c r="D7" s="18"/>
      <c r="E7" s="18"/>
      <c r="F7" s="18"/>
      <c r="G7" s="18"/>
      <c r="H7" s="18"/>
      <c r="I7" s="18"/>
      <c r="J7" s="18"/>
      <c r="K7" s="18"/>
      <c r="L7" s="18"/>
      <c r="M7" s="18"/>
      <c r="N7" s="18"/>
    </row>
    <row r="8" spans="1:14" ht="3.75" customHeight="1" x14ac:dyDescent="0.45">
      <c r="A8" s="18"/>
      <c r="B8" s="18"/>
      <c r="C8" s="18"/>
      <c r="D8" s="18"/>
      <c r="E8" s="18"/>
      <c r="F8" s="18"/>
      <c r="G8" s="18"/>
      <c r="H8" s="18"/>
      <c r="I8" s="18"/>
      <c r="J8" s="18"/>
      <c r="K8" s="18"/>
      <c r="L8" s="18"/>
      <c r="M8" s="18"/>
      <c r="N8" s="18"/>
    </row>
    <row r="9" spans="1:14" ht="14.65" thickBot="1" x14ac:dyDescent="0.5">
      <c r="A9" s="18"/>
      <c r="B9" s="18"/>
      <c r="C9" s="18"/>
      <c r="D9" s="145" t="s">
        <v>230</v>
      </c>
      <c r="E9" s="18"/>
      <c r="F9" s="18"/>
      <c r="G9" s="18"/>
      <c r="H9" s="18"/>
      <c r="I9" s="18"/>
      <c r="J9" s="18"/>
      <c r="K9" s="18"/>
      <c r="L9" s="18"/>
      <c r="M9" s="18"/>
      <c r="N9" s="18"/>
    </row>
    <row r="10" spans="1:14" s="23" customFormat="1" ht="37.5" customHeight="1" thickBot="1" x14ac:dyDescent="0.5">
      <c r="A10" s="20"/>
      <c r="B10" s="20"/>
      <c r="C10" s="21" t="s">
        <v>219</v>
      </c>
      <c r="D10" s="22"/>
      <c r="E10" s="20"/>
      <c r="F10" s="20"/>
      <c r="G10" s="20"/>
      <c r="H10" s="20"/>
      <c r="I10" s="20"/>
      <c r="J10" s="20"/>
      <c r="K10" s="20"/>
      <c r="L10" s="20"/>
      <c r="M10" s="20"/>
      <c r="N10" s="20"/>
    </row>
    <row r="11" spans="1:14" s="23" customFormat="1" ht="44.25" customHeight="1" thickBot="1" x14ac:dyDescent="0.5">
      <c r="A11" s="20"/>
      <c r="B11" s="20"/>
      <c r="C11" s="24" t="s">
        <v>220</v>
      </c>
      <c r="D11" s="22"/>
      <c r="E11" s="20"/>
      <c r="F11" s="20"/>
      <c r="G11" s="20"/>
      <c r="H11" s="20"/>
      <c r="I11" s="20"/>
      <c r="J11" s="20"/>
      <c r="K11" s="20"/>
      <c r="L11" s="20"/>
      <c r="M11" s="20"/>
      <c r="N11" s="20"/>
    </row>
    <row r="12" spans="1:14" s="23" customFormat="1" ht="37.5" customHeight="1" thickBot="1" x14ac:dyDescent="0.5">
      <c r="A12" s="20"/>
      <c r="B12" s="20"/>
      <c r="C12" s="21" t="s">
        <v>221</v>
      </c>
      <c r="D12" s="25"/>
      <c r="E12" s="20"/>
      <c r="F12" s="20"/>
      <c r="G12" s="20"/>
      <c r="H12" s="20"/>
      <c r="I12" s="20"/>
      <c r="J12" s="20"/>
      <c r="K12" s="20"/>
      <c r="L12" s="20"/>
      <c r="M12" s="20"/>
      <c r="N12" s="20"/>
    </row>
    <row r="13" spans="1:14" s="23" customFormat="1" ht="37.5" customHeight="1" thickBot="1" x14ac:dyDescent="0.5">
      <c r="A13" s="20"/>
      <c r="B13" s="20"/>
      <c r="C13" s="21" t="s">
        <v>222</v>
      </c>
      <c r="D13" s="22"/>
      <c r="E13" s="20"/>
      <c r="F13" s="20"/>
      <c r="G13" s="20"/>
      <c r="H13" s="20"/>
      <c r="I13" s="20"/>
      <c r="J13" s="20"/>
      <c r="K13" s="20"/>
      <c r="L13" s="20"/>
      <c r="M13" s="20"/>
      <c r="N13" s="20"/>
    </row>
    <row r="14" spans="1:14" ht="20.65" customHeight="1" x14ac:dyDescent="0.45">
      <c r="A14" s="18"/>
      <c r="B14" s="18"/>
      <c r="C14" s="161" t="s">
        <v>223</v>
      </c>
      <c r="D14" s="163"/>
      <c r="E14" s="18"/>
      <c r="F14" s="18"/>
      <c r="G14" s="18"/>
      <c r="H14" s="18"/>
      <c r="I14" s="18"/>
      <c r="J14" s="18"/>
      <c r="K14" s="18"/>
      <c r="L14" s="18"/>
      <c r="M14" s="18"/>
      <c r="N14" s="18"/>
    </row>
    <row r="15" spans="1:14" ht="14.65" customHeight="1" thickBot="1" x14ac:dyDescent="0.5">
      <c r="A15" s="18"/>
      <c r="B15" s="18"/>
      <c r="C15" s="162"/>
      <c r="D15" s="164"/>
      <c r="E15" s="18"/>
      <c r="F15" s="18"/>
      <c r="G15" s="18"/>
      <c r="H15" s="18"/>
      <c r="I15" s="18"/>
      <c r="J15" s="18"/>
      <c r="K15" s="18"/>
      <c r="L15" s="18"/>
      <c r="M15" s="18"/>
      <c r="N15" s="18"/>
    </row>
    <row r="16" spans="1:14" ht="28.15" customHeight="1" x14ac:dyDescent="0.45">
      <c r="A16" s="18"/>
      <c r="B16" s="18"/>
      <c r="C16" s="18"/>
      <c r="D16" s="18"/>
      <c r="E16" s="18"/>
      <c r="F16" s="18"/>
      <c r="G16" s="18"/>
      <c r="H16" s="18"/>
      <c r="I16" s="18"/>
      <c r="J16" s="18"/>
      <c r="K16" s="18"/>
      <c r="L16" s="18"/>
      <c r="M16" s="18"/>
      <c r="N16" s="18"/>
    </row>
    <row r="17" spans="1:14" x14ac:dyDescent="0.45">
      <c r="A17" s="18"/>
      <c r="B17" s="18"/>
      <c r="C17" s="26" t="s">
        <v>227</v>
      </c>
      <c r="D17" s="18"/>
      <c r="E17" s="18"/>
      <c r="F17" s="18"/>
      <c r="G17" s="26" t="s">
        <v>229</v>
      </c>
      <c r="H17" s="18"/>
      <c r="I17" s="18"/>
      <c r="J17" s="18"/>
      <c r="K17" s="18"/>
      <c r="L17" s="18"/>
      <c r="M17" s="18"/>
      <c r="N17" s="18"/>
    </row>
    <row r="18" spans="1:14" ht="14.25" customHeight="1" x14ac:dyDescent="0.45">
      <c r="A18" s="18"/>
      <c r="B18" s="18"/>
      <c r="C18" s="27" t="s">
        <v>143</v>
      </c>
      <c r="D18" s="18"/>
      <c r="E18" s="18"/>
      <c r="F18" s="18"/>
      <c r="G18" s="165" t="s">
        <v>224</v>
      </c>
      <c r="H18" s="165"/>
      <c r="I18" s="165"/>
      <c r="J18" s="165"/>
      <c r="K18" s="165"/>
      <c r="L18" s="165"/>
      <c r="M18" s="18"/>
      <c r="N18" s="18"/>
    </row>
    <row r="19" spans="1:14" x14ac:dyDescent="0.45">
      <c r="A19" s="18"/>
      <c r="B19" s="18"/>
      <c r="C19" s="166" t="s">
        <v>144</v>
      </c>
      <c r="D19" s="166"/>
      <c r="E19" s="18"/>
      <c r="F19" s="18"/>
      <c r="G19" s="165"/>
      <c r="H19" s="165"/>
      <c r="I19" s="165"/>
      <c r="J19" s="165"/>
      <c r="K19" s="165"/>
      <c r="L19" s="165"/>
      <c r="M19" s="18"/>
      <c r="N19" s="18"/>
    </row>
    <row r="20" spans="1:14" x14ac:dyDescent="0.45">
      <c r="A20" s="18"/>
      <c r="B20" s="18"/>
      <c r="C20" s="27" t="s">
        <v>145</v>
      </c>
      <c r="D20" s="18"/>
      <c r="E20" s="18"/>
      <c r="F20" s="18"/>
      <c r="G20" s="165"/>
      <c r="H20" s="165"/>
      <c r="I20" s="165"/>
      <c r="J20" s="165"/>
      <c r="K20" s="165"/>
      <c r="L20" s="165"/>
      <c r="M20" s="18"/>
      <c r="N20" s="18"/>
    </row>
    <row r="21" spans="1:14" ht="31.25" customHeight="1" x14ac:dyDescent="0.45">
      <c r="A21" s="18"/>
      <c r="B21" s="18"/>
      <c r="C21" s="167" t="s">
        <v>146</v>
      </c>
      <c r="D21" s="167"/>
      <c r="E21" s="28"/>
      <c r="F21" s="28"/>
      <c r="G21" s="165"/>
      <c r="H21" s="165"/>
      <c r="I21" s="165"/>
      <c r="J21" s="165"/>
      <c r="K21" s="165"/>
      <c r="L21" s="165"/>
      <c r="M21" s="18"/>
      <c r="N21" s="18"/>
    </row>
    <row r="22" spans="1:14" x14ac:dyDescent="0.45">
      <c r="A22" s="18"/>
      <c r="B22" s="18"/>
      <c r="C22" s="146" t="s">
        <v>147</v>
      </c>
      <c r="D22" s="146"/>
      <c r="E22" s="18"/>
      <c r="F22" s="18"/>
      <c r="G22" s="147" t="s">
        <v>225</v>
      </c>
      <c r="H22" s="147"/>
      <c r="I22" s="147"/>
      <c r="J22" s="147"/>
      <c r="K22" s="147"/>
      <c r="L22" s="147"/>
      <c r="M22" s="18"/>
      <c r="N22" s="18"/>
    </row>
    <row r="23" spans="1:14" ht="14.25" customHeight="1" x14ac:dyDescent="0.45">
      <c r="A23" s="18"/>
      <c r="B23" s="18"/>
      <c r="C23" s="146"/>
      <c r="D23" s="146"/>
      <c r="E23" s="18"/>
      <c r="F23" s="18"/>
      <c r="G23" s="147"/>
      <c r="H23" s="147"/>
      <c r="I23" s="147"/>
      <c r="J23" s="147"/>
      <c r="K23" s="147"/>
      <c r="L23" s="147"/>
      <c r="M23" s="18"/>
      <c r="N23" s="18"/>
    </row>
    <row r="24" spans="1:14" x14ac:dyDescent="0.45">
      <c r="A24" s="18"/>
      <c r="B24" s="18"/>
      <c r="C24" s="27" t="s">
        <v>148</v>
      </c>
      <c r="D24" s="18"/>
      <c r="E24" s="18"/>
      <c r="F24" s="18"/>
      <c r="G24" s="147"/>
      <c r="H24" s="147"/>
      <c r="I24" s="147"/>
      <c r="J24" s="147"/>
      <c r="K24" s="147"/>
      <c r="L24" s="147"/>
      <c r="M24" s="18"/>
      <c r="N24" s="18"/>
    </row>
    <row r="25" spans="1:14" x14ac:dyDescent="0.45">
      <c r="A25" s="18"/>
      <c r="B25" s="18"/>
      <c r="C25" s="18"/>
      <c r="D25" s="18"/>
      <c r="E25" s="18"/>
      <c r="F25" s="18"/>
      <c r="G25" s="147"/>
      <c r="H25" s="147"/>
      <c r="I25" s="147"/>
      <c r="J25" s="147"/>
      <c r="K25" s="147"/>
      <c r="L25" s="147"/>
      <c r="M25" s="18"/>
      <c r="N25" s="18"/>
    </row>
    <row r="26" spans="1:14" x14ac:dyDescent="0.45">
      <c r="A26" s="18"/>
      <c r="B26" s="18"/>
      <c r="C26" s="26" t="s">
        <v>228</v>
      </c>
      <c r="D26" s="18"/>
      <c r="E26" s="18"/>
      <c r="F26" s="18"/>
      <c r="G26" s="147"/>
      <c r="H26" s="147"/>
      <c r="I26" s="147"/>
      <c r="J26" s="147"/>
      <c r="K26" s="147"/>
      <c r="L26" s="147"/>
      <c r="M26" s="18"/>
      <c r="N26" s="18"/>
    </row>
    <row r="27" spans="1:14" ht="14.25" customHeight="1" x14ac:dyDescent="0.45">
      <c r="A27" s="18"/>
      <c r="B27" s="18"/>
      <c r="C27" s="149" t="s">
        <v>149</v>
      </c>
      <c r="D27" s="149"/>
      <c r="E27" s="29"/>
      <c r="F27" s="29"/>
      <c r="G27" s="147"/>
      <c r="H27" s="147"/>
      <c r="I27" s="147"/>
      <c r="J27" s="147"/>
      <c r="K27" s="147"/>
      <c r="L27" s="147"/>
      <c r="M27" s="18"/>
      <c r="N27" s="18"/>
    </row>
    <row r="28" spans="1:14" ht="14.65" thickBot="1" x14ac:dyDescent="0.5">
      <c r="A28" s="18"/>
      <c r="B28" s="18"/>
      <c r="C28" s="159" t="s">
        <v>237</v>
      </c>
      <c r="D28" s="159"/>
      <c r="E28" s="30"/>
      <c r="F28" s="30"/>
      <c r="G28" s="148"/>
      <c r="H28" s="148"/>
      <c r="I28" s="148"/>
      <c r="J28" s="148"/>
      <c r="K28" s="148"/>
      <c r="L28" s="148"/>
      <c r="M28" s="18"/>
      <c r="N28" s="18"/>
    </row>
    <row r="29" spans="1:14" ht="14.65" thickTop="1" x14ac:dyDescent="0.45">
      <c r="A29" s="18"/>
      <c r="B29" s="18"/>
      <c r="C29" s="27" t="s">
        <v>150</v>
      </c>
      <c r="D29" s="30"/>
      <c r="E29" s="30"/>
      <c r="F29" s="30"/>
      <c r="G29" s="150" t="s">
        <v>226</v>
      </c>
      <c r="H29" s="151"/>
      <c r="I29" s="151"/>
      <c r="J29" s="151"/>
      <c r="K29" s="151"/>
      <c r="L29" s="152"/>
      <c r="M29" s="18"/>
      <c r="N29" s="18"/>
    </row>
    <row r="30" spans="1:14" x14ac:dyDescent="0.45">
      <c r="A30" s="18"/>
      <c r="B30" s="18"/>
      <c r="C30" s="27" t="s">
        <v>151</v>
      </c>
      <c r="D30" s="30"/>
      <c r="E30" s="30"/>
      <c r="F30" s="30"/>
      <c r="G30" s="153"/>
      <c r="H30" s="154"/>
      <c r="I30" s="154"/>
      <c r="J30" s="154"/>
      <c r="K30" s="154"/>
      <c r="L30" s="155"/>
      <c r="M30" s="18"/>
      <c r="N30" s="18"/>
    </row>
    <row r="31" spans="1:14" x14ac:dyDescent="0.45">
      <c r="A31" s="18"/>
      <c r="B31" s="18"/>
      <c r="C31" s="30"/>
      <c r="D31" s="30"/>
      <c r="E31" s="30"/>
      <c r="F31" s="30"/>
      <c r="G31" s="153"/>
      <c r="H31" s="154"/>
      <c r="I31" s="154"/>
      <c r="J31" s="154"/>
      <c r="K31" s="154"/>
      <c r="L31" s="155"/>
      <c r="M31" s="18"/>
      <c r="N31" s="18"/>
    </row>
    <row r="32" spans="1:14" ht="18" x14ac:dyDescent="0.55000000000000004">
      <c r="A32" s="18"/>
      <c r="B32" s="18"/>
      <c r="C32" s="31" t="s">
        <v>152</v>
      </c>
      <c r="D32" s="30"/>
      <c r="E32" s="30"/>
      <c r="F32" s="30"/>
      <c r="G32" s="153"/>
      <c r="H32" s="154"/>
      <c r="I32" s="154"/>
      <c r="J32" s="154"/>
      <c r="K32" s="154"/>
      <c r="L32" s="155"/>
      <c r="M32" s="18"/>
      <c r="N32" s="18"/>
    </row>
    <row r="33" spans="1:14" ht="14.65" thickBot="1" x14ac:dyDescent="0.5">
      <c r="A33" s="18"/>
      <c r="B33" s="18"/>
      <c r="C33" s="18"/>
      <c r="D33" s="18"/>
      <c r="E33" s="18"/>
      <c r="F33" s="18"/>
      <c r="G33" s="156"/>
      <c r="H33" s="157"/>
      <c r="I33" s="157"/>
      <c r="J33" s="157"/>
      <c r="K33" s="157"/>
      <c r="L33" s="158"/>
      <c r="M33" s="18"/>
      <c r="N33" s="18"/>
    </row>
    <row r="34" spans="1:14" ht="14.65" thickTop="1" x14ac:dyDescent="0.45">
      <c r="A34" s="18"/>
      <c r="B34" s="18"/>
      <c r="C34" s="18"/>
      <c r="D34" s="18"/>
      <c r="E34" s="18"/>
      <c r="F34" s="18"/>
      <c r="G34" s="18"/>
      <c r="H34" s="18"/>
      <c r="I34" s="18"/>
      <c r="J34" s="18"/>
      <c r="K34" s="18"/>
      <c r="L34" s="18"/>
      <c r="M34" s="18"/>
      <c r="N34" s="18"/>
    </row>
  </sheetData>
  <sheetProtection algorithmName="SHA-512" hashValue="RHwA3xjXWrfILgT3yvWNY4ReDjXRULXyQByPAHL/kLnEgWspF7mVetQYvFAUZqM7RcwaQXGaFtn8D45GwEerSA==" saltValue="nQ0Y/NLUHugoKHgDLrelrg==" spinCount="100000" sheet="1" insertHyperlinks="0"/>
  <mergeCells count="11">
    <mergeCell ref="C2:E6"/>
    <mergeCell ref="C14:C15"/>
    <mergeCell ref="D14:D15"/>
    <mergeCell ref="G18:L21"/>
    <mergeCell ref="C19:D19"/>
    <mergeCell ref="C21:D21"/>
    <mergeCell ref="C22:D23"/>
    <mergeCell ref="G22:L28"/>
    <mergeCell ref="C27:D27"/>
    <mergeCell ref="G29:L33"/>
    <mergeCell ref="C28:D28"/>
  </mergeCells>
  <dataValidations count="1">
    <dataValidation type="whole" allowBlank="1" showInputMessage="1" showErrorMessage="1" errorTitle="Not Valid KAUSTID" error="Please enter a 6digit ID" sqref="D11" xr:uid="{9B2BC3A5-7C64-48BE-9212-5AC6D7915831}">
      <formula1>100000</formula1>
      <formula2>999999</formula2>
    </dataValidation>
  </dataValidations>
  <hyperlinks>
    <hyperlink ref="C19" location="'Enter Your Predictions Here'!A1" display="- Make your predictions on the next tab" xr:uid="{A2B4A22B-4000-494F-9BBC-1EA72A5B7C30}"/>
    <hyperlink ref="C21" r:id="rId1" display="- Upload this document to the 'Entry form' (link here), making sure that you attach your completed version of this document" xr:uid="{9B16DD93-FC29-4BE6-B890-DC9B48D67251}"/>
    <hyperlink ref="C22:D23" r:id="rId2" display="5. Once submitted you will receive an email with your PlayerID. This ID can then be used to track your progress World Cup Challenge Dashboard (click here)" xr:uid="{82706F37-0F98-4430-810B-25EB7E46B2E6}"/>
  </hyperlinks>
  <pageMargins left="0.7" right="0.7" top="0.75" bottom="0.75" header="0.3" footer="0.3"/>
  <pageSetup scale="55"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5E044537-B09B-4289-980C-C2DD00E67650}">
          <x14:formula1>
            <xm:f>Settings!$F$17:$F$49</xm:f>
          </x14:formula1>
          <xm:sqref>D13</xm:sqref>
        </x14:dataValidation>
        <x14:dataValidation type="list" allowBlank="1" showInputMessage="1" showErrorMessage="1" errorTitle="Not a valid entry" xr:uid="{59B387D0-1D7D-42BA-93D4-8FFE912711A5}">
          <x14:formula1>
            <xm:f>Settings!$J$16:$J$38</xm:f>
          </x14:formula1>
          <xm:sqref>D14:D15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1F2FF-983C-4663-A667-AA980CA03F4F}">
  <sheetPr>
    <pageSetUpPr fitToPage="1"/>
  </sheetPr>
  <dimension ref="A1:CD102"/>
  <sheetViews>
    <sheetView showGridLines="0" zoomScale="80" zoomScaleNormal="80" workbookViewId="0">
      <selection activeCell="I12" sqref="I12"/>
    </sheetView>
  </sheetViews>
  <sheetFormatPr defaultColWidth="0" defaultRowHeight="14.25" customHeight="1" zeroHeight="1" x14ac:dyDescent="0.45"/>
  <cols>
    <col min="1" max="1" width="1.53125" style="32" customWidth="1"/>
    <col min="2" max="2" width="7.1328125" style="32" hidden="1" customWidth="1"/>
    <col min="3" max="3" width="13.33203125" style="32" hidden="1" customWidth="1"/>
    <col min="4" max="4" width="4.86328125" style="37" customWidth="1"/>
    <col min="5" max="5" width="6.1328125" style="37" customWidth="1"/>
    <col min="6" max="6" width="9.06640625" style="37" customWidth="1"/>
    <col min="7" max="7" width="7.265625" style="38" customWidth="1"/>
    <col min="8" max="8" width="17.265625" style="39" customWidth="1"/>
    <col min="9" max="10" width="4.265625" style="40" customWidth="1"/>
    <col min="11" max="11" width="16.46484375" style="41" customWidth="1"/>
    <col min="12" max="12" width="1.53125" style="42" customWidth="1"/>
    <col min="13" max="13" width="3.3984375" style="34" customWidth="1"/>
    <col min="14" max="14" width="14" style="43" customWidth="1"/>
    <col min="15" max="18" width="5.3984375" style="44" customWidth="1"/>
    <col min="19" max="19" width="7.73046875" style="44" customWidth="1"/>
    <col min="20" max="20" width="7.1328125" style="44" customWidth="1"/>
    <col min="21" max="21" width="3.9296875" style="45" customWidth="1"/>
    <col min="22" max="22" width="12.59765625" style="46" hidden="1" customWidth="1"/>
    <col min="23" max="24" width="12.59765625" style="66" hidden="1" customWidth="1"/>
    <col min="25" max="25" width="12.59765625" style="47" hidden="1" customWidth="1"/>
    <col min="26" max="29" width="12.59765625" style="46" hidden="1" customWidth="1"/>
    <col min="30" max="30" width="12.59765625" style="47" hidden="1" customWidth="1"/>
    <col min="31" max="31" width="12.59765625" style="46" hidden="1" customWidth="1"/>
    <col min="32" max="32" width="12.59765625" style="47" hidden="1" customWidth="1"/>
    <col min="33" max="42" width="12.59765625" style="46" hidden="1" customWidth="1"/>
    <col min="43" max="45" width="12.59765625" style="47" hidden="1" customWidth="1"/>
    <col min="46" max="50" width="12.59765625" style="46" hidden="1" customWidth="1"/>
    <col min="51" max="53" width="12.59765625" style="47" hidden="1" customWidth="1"/>
    <col min="54" max="54" width="12.59765625" style="48" hidden="1" customWidth="1"/>
    <col min="55" max="55" width="12.59765625" style="34" customWidth="1"/>
    <col min="56" max="56" width="15.19921875" style="34" customWidth="1"/>
    <col min="57" max="59" width="6.06640625" style="34" customWidth="1"/>
    <col min="60" max="61" width="2" style="34" customWidth="1"/>
    <col min="62" max="62" width="7.265625" style="34" customWidth="1"/>
    <col min="63" max="63" width="16.3984375" style="34" customWidth="1"/>
    <col min="64" max="66" width="5.6640625" style="34" customWidth="1"/>
    <col min="67" max="68" width="2" style="34" customWidth="1"/>
    <col min="69" max="69" width="3.265625" style="34" customWidth="1"/>
    <col min="70" max="70" width="15.33203125" style="34" customWidth="1"/>
    <col min="71" max="73" width="6.06640625" style="34" customWidth="1"/>
    <col min="74" max="75" width="2" style="34" customWidth="1"/>
    <col min="76" max="76" width="3.265625" style="34" customWidth="1"/>
    <col min="77" max="77" width="15.19921875" style="34" customWidth="1"/>
    <col min="78" max="80" width="6.19921875" style="34" customWidth="1"/>
    <col min="81" max="82" width="9.1328125" style="34" customWidth="1"/>
    <col min="83" max="16384" width="9.1328125" style="34" hidden="1"/>
  </cols>
  <sheetData>
    <row r="1" spans="1:81" ht="39.4" customHeight="1" x14ac:dyDescent="0.45">
      <c r="D1" s="33"/>
      <c r="E1" s="234" t="s">
        <v>234</v>
      </c>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33"/>
      <c r="BF1" s="33"/>
      <c r="BG1" s="33"/>
      <c r="BH1" s="33"/>
      <c r="BI1" s="33"/>
      <c r="BJ1" s="33"/>
      <c r="BK1" s="33"/>
      <c r="BL1" s="33"/>
      <c r="BM1" s="33"/>
      <c r="BN1" s="33"/>
      <c r="BO1" s="33"/>
      <c r="BP1" s="33"/>
      <c r="BQ1" s="33"/>
      <c r="BR1" s="33"/>
      <c r="BS1" s="33"/>
      <c r="BT1" s="33"/>
      <c r="BU1" s="33"/>
      <c r="BV1" s="33"/>
      <c r="BW1" s="33"/>
      <c r="BX1" s="33"/>
      <c r="BY1" s="33"/>
      <c r="BZ1" s="33"/>
      <c r="CA1" s="33"/>
      <c r="CB1" s="33"/>
      <c r="CC1" s="33"/>
    </row>
    <row r="2" spans="1:81" ht="19.899999999999999" customHeight="1" x14ac:dyDescent="0.45">
      <c r="D2" s="33"/>
      <c r="E2" s="235" t="s">
        <v>153</v>
      </c>
      <c r="F2" s="235"/>
      <c r="G2" s="235"/>
      <c r="H2" s="35" t="str">
        <f>IF('Your Details'!D10="","Complete Registration Form",UPPER('Your Details'!D10) &amp;" ("&amp;'Your Details'!D11&amp;") | "&amp;'Your Details'!D12&amp;" | "&amp;'Your Details'!D13&amp;" | "&amp;'Your Details'!D14)</f>
        <v>Complete Registration Form</v>
      </c>
      <c r="I2" s="35"/>
      <c r="J2" s="35"/>
      <c r="K2" s="35"/>
      <c r="L2" s="35"/>
      <c r="M2" s="35"/>
      <c r="N2" s="35"/>
      <c r="O2" s="36"/>
      <c r="P2" s="236"/>
      <c r="Q2" s="236"/>
      <c r="R2" s="236"/>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A2" s="237"/>
      <c r="BB2" s="237"/>
      <c r="BC2" s="237"/>
      <c r="BD2" s="237"/>
      <c r="BE2" s="33"/>
      <c r="BF2" s="33"/>
      <c r="BG2" s="33"/>
      <c r="BH2" s="33"/>
      <c r="BI2" s="33"/>
      <c r="BJ2" s="33"/>
      <c r="BK2" s="33"/>
      <c r="BL2" s="33"/>
      <c r="BM2" s="33"/>
      <c r="BN2" s="33"/>
      <c r="BO2" s="33"/>
      <c r="BP2" s="33"/>
      <c r="BQ2" s="33"/>
      <c r="BR2" s="33"/>
      <c r="BS2" s="33"/>
      <c r="BT2" s="33"/>
      <c r="BU2" s="33"/>
      <c r="BV2" s="33"/>
      <c r="BW2" s="33"/>
      <c r="BX2" s="33"/>
      <c r="BY2" s="33"/>
      <c r="BZ2" s="33"/>
      <c r="CA2" s="33"/>
      <c r="CB2" s="33"/>
      <c r="CC2" s="33"/>
    </row>
    <row r="3" spans="1:81" ht="3" customHeight="1" x14ac:dyDescent="0.45">
      <c r="W3" s="46"/>
      <c r="X3" s="46"/>
      <c r="Y3" s="46"/>
      <c r="AD3" s="46"/>
      <c r="AF3" s="46"/>
      <c r="AH3" s="47"/>
      <c r="AI3" s="47"/>
      <c r="AJ3" s="47"/>
      <c r="AP3" s="47"/>
      <c r="AT3" s="47"/>
      <c r="AU3" s="47"/>
      <c r="AV3" s="47"/>
      <c r="AW3" s="47"/>
      <c r="AX3" s="47"/>
      <c r="BC3" s="49" t="s">
        <v>154</v>
      </c>
    </row>
    <row r="4" spans="1:81" ht="3" customHeight="1" x14ac:dyDescent="0.45">
      <c r="W4" s="46"/>
      <c r="X4" s="46"/>
      <c r="Y4" s="46"/>
      <c r="AD4" s="46"/>
      <c r="AF4" s="46"/>
      <c r="AH4" s="47"/>
      <c r="AI4" s="47"/>
      <c r="AJ4" s="47"/>
      <c r="AP4" s="47"/>
      <c r="AT4" s="47"/>
      <c r="AU4" s="47"/>
      <c r="AV4" s="47"/>
      <c r="AW4" s="47"/>
      <c r="AX4" s="47"/>
      <c r="BC4" s="49"/>
    </row>
    <row r="5" spans="1:81" ht="3" customHeight="1" x14ac:dyDescent="0.45">
      <c r="W5" s="46"/>
      <c r="X5" s="46"/>
      <c r="Y5" s="46"/>
      <c r="AD5" s="46"/>
      <c r="AF5" s="46"/>
      <c r="AH5" s="47"/>
      <c r="AI5" s="47"/>
      <c r="AJ5" s="47"/>
      <c r="AP5" s="47"/>
      <c r="AT5" s="47"/>
      <c r="AU5" s="47"/>
      <c r="AV5" s="47"/>
      <c r="AW5" s="47"/>
      <c r="AX5" s="47"/>
      <c r="BC5" s="49"/>
    </row>
    <row r="6" spans="1:81" ht="3" customHeight="1" x14ac:dyDescent="0.45">
      <c r="D6" s="50"/>
      <c r="E6" s="50"/>
      <c r="F6" s="50"/>
      <c r="G6" s="51"/>
      <c r="H6" s="52"/>
      <c r="I6" s="53"/>
      <c r="J6" s="53"/>
      <c r="K6" s="54"/>
      <c r="L6" s="55"/>
      <c r="M6" s="56"/>
      <c r="N6" s="57"/>
      <c r="O6" s="58"/>
      <c r="P6" s="58"/>
      <c r="Q6" s="58"/>
      <c r="R6" s="58"/>
      <c r="S6" s="58"/>
      <c r="T6" s="58"/>
      <c r="W6" s="46"/>
      <c r="X6" s="46"/>
      <c r="Y6" s="46"/>
      <c r="AD6" s="46"/>
      <c r="AF6" s="46"/>
      <c r="AH6" s="47"/>
      <c r="AI6" s="47"/>
      <c r="AJ6" s="47"/>
      <c r="AP6" s="47"/>
      <c r="AT6" s="47"/>
      <c r="AU6" s="47"/>
      <c r="AV6" s="47"/>
      <c r="AW6" s="47"/>
      <c r="AX6" s="47"/>
      <c r="BC6" s="49"/>
    </row>
    <row r="7" spans="1:81" ht="67.5" customHeight="1" x14ac:dyDescent="0.45">
      <c r="D7" s="238" t="s">
        <v>155</v>
      </c>
      <c r="E7" s="239"/>
      <c r="F7" s="239"/>
      <c r="G7" s="239"/>
      <c r="H7" s="239"/>
      <c r="I7" s="239"/>
      <c r="J7" s="239"/>
      <c r="K7" s="239"/>
      <c r="L7" s="239"/>
      <c r="M7" s="239"/>
      <c r="N7" s="239"/>
      <c r="O7" s="239"/>
      <c r="P7" s="239"/>
      <c r="Q7" s="239"/>
      <c r="R7" s="239"/>
      <c r="S7" s="239"/>
      <c r="T7" s="239"/>
      <c r="W7" s="46"/>
      <c r="X7" s="46"/>
      <c r="Y7" s="46"/>
      <c r="AD7" s="46"/>
      <c r="AF7" s="46"/>
      <c r="AH7" s="47"/>
      <c r="AI7" s="47"/>
      <c r="AJ7" s="47"/>
      <c r="AP7" s="47"/>
      <c r="AT7" s="47"/>
      <c r="AU7" s="47"/>
      <c r="AV7" s="47"/>
      <c r="AW7" s="47"/>
      <c r="AX7" s="47"/>
      <c r="BC7" s="240" t="s">
        <v>156</v>
      </c>
      <c r="BD7" s="240"/>
      <c r="BE7" s="240"/>
      <c r="BF7" s="240"/>
      <c r="BG7" s="240"/>
      <c r="BH7" s="240"/>
      <c r="BI7" s="240"/>
      <c r="BJ7" s="240"/>
      <c r="BK7" s="240"/>
      <c r="BL7" s="240"/>
      <c r="BM7" s="240"/>
      <c r="BN7" s="240"/>
      <c r="BO7" s="240"/>
      <c r="BP7" s="240"/>
      <c r="BQ7" s="240"/>
      <c r="BR7" s="240"/>
      <c r="BS7" s="240"/>
      <c r="BT7" s="240"/>
      <c r="BU7" s="240"/>
      <c r="BV7" s="240"/>
      <c r="BW7" s="240"/>
      <c r="BX7" s="240"/>
      <c r="BY7" s="240"/>
      <c r="BZ7" s="240"/>
      <c r="CA7" s="240"/>
      <c r="CB7" s="240"/>
      <c r="CC7" s="240"/>
    </row>
    <row r="8" spans="1:81" ht="24.75" customHeight="1" thickBot="1" x14ac:dyDescent="0.75">
      <c r="D8" s="59"/>
      <c r="E8" s="60" t="s">
        <v>157</v>
      </c>
      <c r="F8" s="61"/>
      <c r="G8" s="61"/>
      <c r="H8" s="62"/>
      <c r="I8" s="61"/>
      <c r="J8" s="61"/>
      <c r="K8" s="63"/>
      <c r="L8" s="64"/>
      <c r="M8" s="61"/>
      <c r="N8" s="61"/>
      <c r="O8" s="61"/>
      <c r="P8" s="61"/>
      <c r="Q8" s="61"/>
      <c r="R8" s="61"/>
      <c r="S8" s="61"/>
      <c r="T8" s="61"/>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65"/>
      <c r="BF8" s="65"/>
      <c r="BG8" s="65"/>
      <c r="BH8" s="65"/>
      <c r="BI8" s="65"/>
      <c r="BJ8" s="65"/>
      <c r="BK8" s="65"/>
      <c r="BL8" s="65"/>
      <c r="BM8" s="65"/>
      <c r="BN8" s="65"/>
      <c r="BO8" s="65"/>
      <c r="BP8" s="65"/>
      <c r="BQ8" s="65"/>
      <c r="BR8" s="65"/>
      <c r="BS8" s="65"/>
      <c r="BT8" s="65"/>
      <c r="BU8" s="65"/>
      <c r="BV8" s="65"/>
      <c r="BW8" s="65"/>
      <c r="BX8" s="65"/>
      <c r="BY8" s="65"/>
      <c r="BZ8" s="65"/>
      <c r="CA8" s="65"/>
      <c r="CB8" s="65"/>
    </row>
    <row r="9" spans="1:81" ht="18" customHeight="1" thickBot="1" x14ac:dyDescent="0.5">
      <c r="BC9" s="213" t="s">
        <v>158</v>
      </c>
      <c r="BD9" s="214"/>
      <c r="BE9" s="214"/>
      <c r="BF9" s="214"/>
      <c r="BG9" s="215"/>
      <c r="BH9" s="67"/>
      <c r="BI9" s="67"/>
      <c r="BJ9" s="213" t="s">
        <v>159</v>
      </c>
      <c r="BK9" s="214"/>
      <c r="BL9" s="214"/>
      <c r="BM9" s="214"/>
      <c r="BN9" s="215"/>
      <c r="BO9" s="67"/>
      <c r="BP9" s="67"/>
      <c r="BQ9" s="213" t="s">
        <v>160</v>
      </c>
      <c r="BR9" s="214"/>
      <c r="BS9" s="214"/>
      <c r="BT9" s="214"/>
      <c r="BU9" s="215"/>
      <c r="BV9" s="67"/>
      <c r="BW9" s="67"/>
      <c r="BX9" s="213" t="s">
        <v>161</v>
      </c>
      <c r="BY9" s="214"/>
      <c r="BZ9" s="214"/>
      <c r="CA9" s="214"/>
      <c r="CB9" s="215"/>
    </row>
    <row r="10" spans="1:81" ht="15" customHeight="1" x14ac:dyDescent="0.45">
      <c r="D10" s="222" t="s">
        <v>162</v>
      </c>
      <c r="E10" s="223"/>
      <c r="F10" s="223"/>
      <c r="G10" s="223"/>
      <c r="H10" s="223"/>
      <c r="I10" s="223"/>
      <c r="J10" s="223"/>
      <c r="K10" s="224"/>
      <c r="L10" s="68"/>
      <c r="N10" s="228" t="s">
        <v>163</v>
      </c>
      <c r="O10" s="229"/>
      <c r="P10" s="229"/>
      <c r="Q10" s="229"/>
      <c r="R10" s="229"/>
      <c r="S10" s="229"/>
      <c r="T10" s="230"/>
      <c r="BC10" s="216"/>
      <c r="BD10" s="217"/>
      <c r="BE10" s="217"/>
      <c r="BF10" s="217"/>
      <c r="BG10" s="218"/>
      <c r="BH10" s="67"/>
      <c r="BI10" s="67"/>
      <c r="BJ10" s="216"/>
      <c r="BK10" s="217"/>
      <c r="BL10" s="217"/>
      <c r="BM10" s="217"/>
      <c r="BN10" s="218"/>
      <c r="BO10" s="67"/>
      <c r="BP10" s="67"/>
      <c r="BQ10" s="216"/>
      <c r="BR10" s="217"/>
      <c r="BS10" s="217"/>
      <c r="BT10" s="217"/>
      <c r="BU10" s="218"/>
      <c r="BV10" s="67"/>
      <c r="BW10" s="67"/>
      <c r="BX10" s="216"/>
      <c r="BY10" s="217"/>
      <c r="BZ10" s="217"/>
      <c r="CA10" s="217"/>
      <c r="CB10" s="218"/>
    </row>
    <row r="11" spans="1:81" ht="24.4" customHeight="1" thickBot="1" x14ac:dyDescent="0.5">
      <c r="A11" s="32" t="s">
        <v>164</v>
      </c>
      <c r="B11" s="32" t="s">
        <v>34</v>
      </c>
      <c r="C11" s="32" t="s">
        <v>235</v>
      </c>
      <c r="D11" s="225"/>
      <c r="E11" s="226"/>
      <c r="F11" s="226"/>
      <c r="G11" s="226"/>
      <c r="H11" s="226"/>
      <c r="I11" s="226"/>
      <c r="J11" s="226"/>
      <c r="K11" s="227"/>
      <c r="L11" s="68"/>
      <c r="N11" s="231"/>
      <c r="O11" s="232"/>
      <c r="P11" s="232"/>
      <c r="Q11" s="232"/>
      <c r="R11" s="232"/>
      <c r="S11" s="232"/>
      <c r="T11" s="233"/>
      <c r="V11" s="46" t="s">
        <v>165</v>
      </c>
      <c r="Z11" s="46" t="s">
        <v>166</v>
      </c>
      <c r="AA11" s="46" t="s">
        <v>167</v>
      </c>
      <c r="AE11" s="46" t="s">
        <v>168</v>
      </c>
      <c r="AF11" s="46" t="s">
        <v>34</v>
      </c>
      <c r="AG11" s="46" t="s">
        <v>10</v>
      </c>
      <c r="AH11" s="46" t="s">
        <v>169</v>
      </c>
      <c r="AI11" s="46" t="s">
        <v>12</v>
      </c>
      <c r="AJ11" s="46" t="s">
        <v>166</v>
      </c>
      <c r="AK11" s="46" t="s">
        <v>167</v>
      </c>
      <c r="AL11" s="46" t="s">
        <v>170</v>
      </c>
      <c r="AM11" s="46" t="s">
        <v>170</v>
      </c>
      <c r="AO11" s="46" t="s">
        <v>171</v>
      </c>
      <c r="AP11" s="46" t="s">
        <v>172</v>
      </c>
      <c r="AQ11" s="46" t="s">
        <v>173</v>
      </c>
      <c r="AR11" s="46" t="s">
        <v>174</v>
      </c>
      <c r="AT11" s="46" t="s">
        <v>10</v>
      </c>
      <c r="AU11" s="46" t="s">
        <v>169</v>
      </c>
      <c r="AV11" s="46" t="s">
        <v>166</v>
      </c>
      <c r="AW11" s="46" t="s">
        <v>167</v>
      </c>
      <c r="AX11" s="46" t="s">
        <v>175</v>
      </c>
      <c r="BC11" s="219"/>
      <c r="BD11" s="220"/>
      <c r="BE11" s="220"/>
      <c r="BF11" s="220"/>
      <c r="BG11" s="221"/>
      <c r="BJ11" s="219"/>
      <c r="BK11" s="220"/>
      <c r="BL11" s="220"/>
      <c r="BM11" s="220"/>
      <c r="BN11" s="221"/>
      <c r="BQ11" s="219"/>
      <c r="BR11" s="220"/>
      <c r="BS11" s="220"/>
      <c r="BT11" s="220"/>
      <c r="BU11" s="221"/>
      <c r="BX11" s="219"/>
      <c r="BY11" s="220"/>
      <c r="BZ11" s="220"/>
      <c r="CA11" s="220"/>
      <c r="CB11" s="221"/>
    </row>
    <row r="12" spans="1:81" ht="15" customHeight="1" x14ac:dyDescent="0.45">
      <c r="A12" s="32" t="str">
        <f>IF('Your Details'!$D$11="","",'Your Details'!$D$11)</f>
        <v/>
      </c>
      <c r="B12" s="32" t="str">
        <f>IF('Your Details'!$D$13="","",'Your Details'!$D$13)</f>
        <v/>
      </c>
      <c r="C12" s="32" t="str">
        <f>IF('Your Details'!$D$14="","",'Your Details'!$D$14)</f>
        <v/>
      </c>
      <c r="D12" s="69">
        <v>1</v>
      </c>
      <c r="E12" s="70" t="s">
        <v>15</v>
      </c>
      <c r="F12" s="71">
        <v>44885</v>
      </c>
      <c r="G12" s="72">
        <v>0.79166666666666663</v>
      </c>
      <c r="H12" s="73" t="s">
        <v>36</v>
      </c>
      <c r="I12" s="74"/>
      <c r="J12" s="74"/>
      <c r="K12" s="75" t="s">
        <v>37</v>
      </c>
      <c r="L12" s="76" t="str">
        <f>IF(AND(I12="",J12=""),"",IF(I12=J12,"D",IF(I12&gt;J12,"H",IF(J12&gt;I12,"A"))))</f>
        <v/>
      </c>
      <c r="V12" s="46" t="e">
        <f>DATE(2022,11,20)+TIME(5,0,0)+gmt_delta</f>
        <v>#N/A</v>
      </c>
      <c r="W12" s="66" t="str">
        <f t="shared" ref="W12:W59" si="0">IF(OR(I12="",J12=""),"",IF(I12&gt;J12,H12&amp;"_win",IF(I12&lt;J12,H12&amp;"_lose",H12&amp;"_draw")))</f>
        <v/>
      </c>
      <c r="X12" s="66" t="str">
        <f t="shared" ref="X12:X59" si="1">IF(W12="","",IF(I12&lt;J12,K12&amp;"_win",IF(I12&gt;J12,K12&amp;"_lose",K12&amp;"_draw")))</f>
        <v/>
      </c>
      <c r="Y12" s="47">
        <f t="shared" ref="Y12:Y59" si="2">IF(W12="",0,IF(VLOOKUP(H12,$AF$13:$AO$58,7,FALSE)=VLOOKUP(K12,$AF$13:$AO$58,7,FALSE),1,0))</f>
        <v>0</v>
      </c>
      <c r="Z12" s="46">
        <f t="shared" ref="Z12:Z59" si="3">Y12*I12</f>
        <v>0</v>
      </c>
      <c r="AA12" s="46">
        <f t="shared" ref="AA12:AA59" si="4">Y12*J12</f>
        <v>0</v>
      </c>
      <c r="AB12" s="46">
        <f t="shared" ref="AB12:AB59" si="5">IF(OR(H12=my_team,K12=my_team),1,0)</f>
        <v>0</v>
      </c>
      <c r="AC12" s="46" t="str">
        <f t="shared" ref="AC12:AC59" si="6">IF(OR(I12="",J12=""),"",IF(I12&gt;J12,1,IF(I12&lt;J12,-1,0)))</f>
        <v/>
      </c>
    </row>
    <row r="13" spans="1:81" ht="15" customHeight="1" x14ac:dyDescent="0.45">
      <c r="A13" s="32" t="str">
        <f>IF('Your Details'!$D$11="","",'Your Details'!$D$11)</f>
        <v/>
      </c>
      <c r="B13" s="32" t="str">
        <f>IF('Your Details'!$D$13="","",'Your Details'!$D$13)</f>
        <v/>
      </c>
      <c r="C13" s="32" t="str">
        <f>IF('Your Details'!$D$14="","",'Your Details'!$D$14)</f>
        <v/>
      </c>
      <c r="D13" s="77">
        <v>2</v>
      </c>
      <c r="E13" s="78" t="s">
        <v>16</v>
      </c>
      <c r="F13" s="79">
        <v>44886</v>
      </c>
      <c r="G13" s="80">
        <v>0.79166666666666663</v>
      </c>
      <c r="H13" s="81" t="s">
        <v>35</v>
      </c>
      <c r="I13" s="82"/>
      <c r="J13" s="82"/>
      <c r="K13" s="83" t="s">
        <v>38</v>
      </c>
      <c r="L13" s="76" t="str">
        <f t="shared" ref="L13:L59" si="7">IF(AND(I13="",J13=""),"",IF(I13=J13,"D",IF(I13&gt;J13,"H",IF(J13&gt;I13,"A"))))</f>
        <v/>
      </c>
      <c r="N13" s="84" t="s">
        <v>176</v>
      </c>
      <c r="O13" s="84" t="s">
        <v>9</v>
      </c>
      <c r="P13" s="84" t="s">
        <v>10</v>
      </c>
      <c r="Q13" s="84" t="s">
        <v>169</v>
      </c>
      <c r="R13" s="84" t="s">
        <v>12</v>
      </c>
      <c r="S13" s="84" t="s">
        <v>13</v>
      </c>
      <c r="T13" s="84" t="s">
        <v>177</v>
      </c>
      <c r="V13" s="46" t="e">
        <f>DATE(2022,11,21)+TIME(5,0,0)+gmt_delta</f>
        <v>#N/A</v>
      </c>
      <c r="W13" s="66" t="str">
        <f t="shared" si="0"/>
        <v/>
      </c>
      <c r="X13" s="66" t="str">
        <f t="shared" si="1"/>
        <v/>
      </c>
      <c r="Y13" s="47">
        <f t="shared" si="2"/>
        <v>0</v>
      </c>
      <c r="Z13" s="46">
        <f t="shared" si="3"/>
        <v>0</v>
      </c>
      <c r="AA13" s="46">
        <f t="shared" si="4"/>
        <v>0</v>
      </c>
      <c r="AB13" s="46">
        <f t="shared" si="5"/>
        <v>0</v>
      </c>
      <c r="AC13" s="46" t="str">
        <f t="shared" si="6"/>
        <v/>
      </c>
      <c r="AE13" s="46">
        <f>COUNTIF(AR13:AR16,CONCATENATE("&gt;=",AR13))</f>
        <v>2</v>
      </c>
      <c r="AF13" s="47" t="str">
        <f>VLOOKUP("Senegal",T,lang,FALSE)</f>
        <v>Senegal</v>
      </c>
      <c r="AG13" s="46">
        <f>COUNTIF($W$12:$X$59,"=" &amp; AF13 &amp; "_win")</f>
        <v>0</v>
      </c>
      <c r="AH13" s="46">
        <f>COUNTIF($W$12:$X$59,"=" &amp; AF13 &amp; "_draw")</f>
        <v>0</v>
      </c>
      <c r="AI13" s="46">
        <f>COUNTIF($W$12:$X$59,"=" &amp; AF13 &amp; "_lose")</f>
        <v>0</v>
      </c>
      <c r="AJ13" s="46">
        <f>SUMIF($H$12:$H$59,$AF13,$I$12:$I$59) + SUMIF($K$12:$K$59,$AF13,$J$12:$J$59)</f>
        <v>0</v>
      </c>
      <c r="AK13" s="46">
        <f>SUMIF($H$12:$H$59,$AF13,$J$12:$J$59) + SUMIF($K$12:$K$59,$AF13,$I$12:$I$59)</f>
        <v>0</v>
      </c>
      <c r="AL13" s="46">
        <f>(AJ13-AK13)*100+AO13*10000+AJ13</f>
        <v>0</v>
      </c>
      <c r="AM13" s="46">
        <f>AJ13-AK13</f>
        <v>0</v>
      </c>
      <c r="AN13" s="46">
        <f>(AM13-AM18)/AM17</f>
        <v>0</v>
      </c>
      <c r="AO13" s="46">
        <f>AG13*3+AH13</f>
        <v>0</v>
      </c>
      <c r="AP13" s="46">
        <f>AT13/AT17*1000+AU13/AU17*100+AX13/AX17*10+AV13/AV17</f>
        <v>0</v>
      </c>
      <c r="AQ13" s="46">
        <f>VLOOKUP(AF13,db_fifarank,2,FALSE)/2000000</f>
        <v>7.9208000000000002E-4</v>
      </c>
      <c r="AR13" s="47">
        <f>1000*AO13/AO17+100*AN13+10*AJ13/AJ17+1*AP13/AP17+AQ13</f>
        <v>7.9208000000000002E-4</v>
      </c>
      <c r="AS13" s="47" t="str">
        <f>IF(SUM(AG13:AI16)=12,N14,INDEX(T,70,lang))</f>
        <v>1A</v>
      </c>
      <c r="AT13" s="46">
        <f>SUMPRODUCT(($W$12:$W$59=AF13&amp;"_win")*($Y$12:$Y$59))+SUMPRODUCT(($X$12:$X$59=AF13&amp;"_win")*($Y$12:$Y$59))</f>
        <v>0</v>
      </c>
      <c r="AU13" s="46">
        <f>SUMPRODUCT(($W$12:$W$59=AF13&amp;"_draw")*($Y$12:$Y$59))+SUMPRODUCT(($X$12:$X$59=AF13&amp;"_draw")*($Y$12:$Y$59))</f>
        <v>0</v>
      </c>
      <c r="AV13" s="46">
        <f>SUMPRODUCT(($H$12:$H$59=AF13)*($Y$12:$Y$59)*($I$12:$I$59))+SUMPRODUCT(($K$12:$K$59=AF13)*($Y$12:$Y$59)*($J$12:$J$59))</f>
        <v>0</v>
      </c>
      <c r="AW13" s="46">
        <f>SUMPRODUCT(($H$12:$H$59=AF13)*($Y$12:$Y$59)*($J$12:$J$59))+SUMPRODUCT(($K$12:$K$59=AF13)*($Y$12:$Y$59)*($I$12:$I$59))</f>
        <v>0</v>
      </c>
      <c r="AX13" s="46">
        <f>AV13-AW13</f>
        <v>0</v>
      </c>
      <c r="BK13" s="85"/>
      <c r="BL13" s="85"/>
      <c r="BM13" s="85"/>
      <c r="BR13" s="85"/>
      <c r="BS13" s="85"/>
      <c r="BT13" s="85"/>
      <c r="BU13" s="85"/>
      <c r="BV13" s="85"/>
      <c r="BW13" s="85"/>
      <c r="BX13" s="85"/>
      <c r="BY13" s="85"/>
      <c r="BZ13" s="85"/>
      <c r="CA13" s="85"/>
      <c r="CB13" s="85"/>
    </row>
    <row r="14" spans="1:81" ht="15" customHeight="1" x14ac:dyDescent="0.45">
      <c r="A14" s="32" t="str">
        <f>IF('Your Details'!$D$11="","",'Your Details'!$D$11)</f>
        <v/>
      </c>
      <c r="B14" s="32" t="str">
        <f>IF('Your Details'!$D$13="","",'Your Details'!$D$13)</f>
        <v/>
      </c>
      <c r="C14" s="32" t="str">
        <f>IF('Your Details'!$D$14="","",'Your Details'!$D$14)</f>
        <v/>
      </c>
      <c r="D14" s="86">
        <v>3</v>
      </c>
      <c r="E14" s="78" t="s">
        <v>16</v>
      </c>
      <c r="F14" s="79">
        <v>44886</v>
      </c>
      <c r="G14" s="80">
        <v>0.66666666666666663</v>
      </c>
      <c r="H14" s="81" t="s">
        <v>39</v>
      </c>
      <c r="I14" s="82"/>
      <c r="J14" s="82"/>
      <c r="K14" s="83" t="s">
        <v>40</v>
      </c>
      <c r="L14" s="76" t="str">
        <f t="shared" si="7"/>
        <v/>
      </c>
      <c r="N14" s="87" t="str">
        <f>VLOOKUP(1,AE13:AO16,2,FALSE)</f>
        <v>Netherlands</v>
      </c>
      <c r="O14" s="88">
        <f>P14+Q14+R14</f>
        <v>0</v>
      </c>
      <c r="P14" s="88">
        <f>VLOOKUP(1,AE13:AO16,3,FALSE)</f>
        <v>0</v>
      </c>
      <c r="Q14" s="88">
        <f>VLOOKUP(1,AE13:AO16,4,FALSE)</f>
        <v>0</v>
      </c>
      <c r="R14" s="88">
        <f>VLOOKUP(1,AE13:AO16,5,FALSE)</f>
        <v>0</v>
      </c>
      <c r="S14" s="88" t="str">
        <f>VLOOKUP(1,AE13:AO16,6,FALSE) &amp; " - " &amp; VLOOKUP(1,AE13:AO16,7,FALSE)</f>
        <v>0 - 0</v>
      </c>
      <c r="T14" s="88">
        <f>P14*3+Q14</f>
        <v>0</v>
      </c>
      <c r="V14" s="46" t="e">
        <f>DATE(2022,11,21)+TIME(2,0,0)+gmt_delta</f>
        <v>#N/A</v>
      </c>
      <c r="W14" s="66" t="str">
        <f t="shared" si="0"/>
        <v/>
      </c>
      <c r="X14" s="66" t="str">
        <f t="shared" si="1"/>
        <v/>
      </c>
      <c r="Y14" s="47">
        <f t="shared" si="2"/>
        <v>0</v>
      </c>
      <c r="Z14" s="46">
        <f t="shared" si="3"/>
        <v>0</v>
      </c>
      <c r="AA14" s="46">
        <f t="shared" si="4"/>
        <v>0</v>
      </c>
      <c r="AB14" s="46">
        <f t="shared" si="5"/>
        <v>0</v>
      </c>
      <c r="AC14" s="46" t="str">
        <f t="shared" si="6"/>
        <v/>
      </c>
      <c r="AE14" s="46">
        <f>COUNTIF(AR13:AR16,CONCATENATE("&gt;=",AR14))</f>
        <v>4</v>
      </c>
      <c r="AF14" s="47" t="str">
        <f>VLOOKUP("Qatar",T,lang,FALSE)</f>
        <v>Qatar</v>
      </c>
      <c r="AG14" s="46">
        <f>COUNTIF($W$12:$X$59,"=" &amp; AF14 &amp; "_win")</f>
        <v>0</v>
      </c>
      <c r="AH14" s="46">
        <f>COUNTIF($W$12:$X$59,"=" &amp; AF14 &amp; "_draw")</f>
        <v>0</v>
      </c>
      <c r="AI14" s="46">
        <f>COUNTIF($W$12:$X$59,"=" &amp; AF14 &amp; "_lose")</f>
        <v>0</v>
      </c>
      <c r="AJ14" s="46">
        <f>SUMIF($H$12:$H$59,$AF14,$I$12:$I$59) + SUMIF($K$12:$K$59,$AF14,$J$12:$J$59)</f>
        <v>0</v>
      </c>
      <c r="AK14" s="46">
        <f>SUMIF($H$12:$H$59,$AF14,$J$12:$J$59) + SUMIF($K$12:$K$59,$AF14,$I$12:$I$59)</f>
        <v>0</v>
      </c>
      <c r="AL14" s="46">
        <f>(AJ14-AK14)*100+AO14*10000+AJ14</f>
        <v>0</v>
      </c>
      <c r="AM14" s="46">
        <f>AJ14-AK14</f>
        <v>0</v>
      </c>
      <c r="AN14" s="46">
        <f>(AM14-AM18)/AM17</f>
        <v>0</v>
      </c>
      <c r="AO14" s="46">
        <f>AG14*3+AH14</f>
        <v>0</v>
      </c>
      <c r="AP14" s="46">
        <f>AT14/AT17*1000+AU14/AU17*100+AX14/AX17*10+AV14/AV17</f>
        <v>0</v>
      </c>
      <c r="AQ14" s="46">
        <f>VLOOKUP(AF14,db_fifarank,2,FALSE)/2000000</f>
        <v>7.205E-4</v>
      </c>
      <c r="AR14" s="47">
        <f>1000*AO14/AO17+100*AN14+10*AJ14/AJ17+1*AP14/AP17+AQ14</f>
        <v>7.205E-4</v>
      </c>
      <c r="AS14" s="47" t="str">
        <f>IF(SUM(AG13:AI16)=12,N15,INDEX(T,71,lang))</f>
        <v>2A</v>
      </c>
      <c r="AT14" s="46">
        <f>SUMPRODUCT(($W$12:$W$59=AF14&amp;"_win")*($Y$12:$Y$59))+SUMPRODUCT(($X$12:$X$59=AF14&amp;"_win")*($Y$12:$Y$59))</f>
        <v>0</v>
      </c>
      <c r="AU14" s="46">
        <f>SUMPRODUCT(($W$12:$W$59=AF14&amp;"_draw")*($Y$12:$Y$59))+SUMPRODUCT(($X$12:$X$59=AF14&amp;"_draw")*($Y$12:$Y$59))</f>
        <v>0</v>
      </c>
      <c r="AV14" s="46">
        <f>SUMPRODUCT(($H$12:$H$59=AF14)*($Y$12:$Y$59)*($I$12:$I$59))+SUMPRODUCT(($K$12:$K$59=AF14)*($Y$12:$Y$59)*($J$12:$J$59))</f>
        <v>0</v>
      </c>
      <c r="AW14" s="46">
        <f>SUMPRODUCT(($H$12:$H$59=AF14)*($Y$12:$Y$59)*($J$12:$J$59))+SUMPRODUCT(($K$12:$K$59=AF14)*($Y$12:$Y$59)*($I$12:$I$59))</f>
        <v>0</v>
      </c>
      <c r="AX14" s="46">
        <f>AV14-AW14</f>
        <v>0</v>
      </c>
      <c r="BC14" s="89" t="s">
        <v>178</v>
      </c>
      <c r="BD14" s="89"/>
      <c r="BE14" s="90" t="s">
        <v>179</v>
      </c>
      <c r="BF14" s="90" t="s">
        <v>236</v>
      </c>
      <c r="BG14" s="91" t="s">
        <v>180</v>
      </c>
      <c r="BH14" s="85"/>
      <c r="BI14" s="85"/>
      <c r="BJ14" s="85"/>
      <c r="BK14" s="85"/>
      <c r="BL14" s="85"/>
      <c r="BM14" s="85"/>
      <c r="BN14" s="85"/>
      <c r="BO14" s="85"/>
      <c r="BP14" s="85"/>
      <c r="BQ14" s="85"/>
      <c r="BR14" s="85"/>
      <c r="BS14" s="85"/>
      <c r="BT14" s="85"/>
      <c r="BU14" s="85"/>
      <c r="BV14" s="85"/>
      <c r="BW14" s="85"/>
      <c r="BX14" s="85"/>
      <c r="BY14" s="85"/>
      <c r="BZ14" s="85"/>
      <c r="CA14" s="85"/>
      <c r="CB14" s="85"/>
    </row>
    <row r="15" spans="1:81" ht="15" customHeight="1" x14ac:dyDescent="0.45">
      <c r="A15" s="32" t="str">
        <f>IF('Your Details'!$D$11="","",'Your Details'!$D$11)</f>
        <v/>
      </c>
      <c r="B15" s="32" t="str">
        <f>IF('Your Details'!$D$13="","",'Your Details'!$D$13)</f>
        <v/>
      </c>
      <c r="C15" s="32" t="str">
        <f>IF('Your Details'!$D$14="","",'Your Details'!$D$14)</f>
        <v/>
      </c>
      <c r="D15" s="77">
        <v>4</v>
      </c>
      <c r="E15" s="78" t="s">
        <v>16</v>
      </c>
      <c r="F15" s="79">
        <v>44886</v>
      </c>
      <c r="G15" s="80">
        <v>0.91666666666666663</v>
      </c>
      <c r="H15" s="81" t="s">
        <v>41</v>
      </c>
      <c r="I15" s="82"/>
      <c r="J15" s="82"/>
      <c r="K15" s="83" t="s">
        <v>42</v>
      </c>
      <c r="L15" s="76" t="str">
        <f t="shared" si="7"/>
        <v/>
      </c>
      <c r="N15" s="87" t="str">
        <f>VLOOKUP(2,AE13:AO16,2,FALSE)</f>
        <v>Senegal</v>
      </c>
      <c r="O15" s="88">
        <f>P15+Q15+R15</f>
        <v>0</v>
      </c>
      <c r="P15" s="88">
        <f>VLOOKUP(2,AE13:AO16,3,FALSE)</f>
        <v>0</v>
      </c>
      <c r="Q15" s="88">
        <f>VLOOKUP(2,AE13:AO16,4,FALSE)</f>
        <v>0</v>
      </c>
      <c r="R15" s="88">
        <f>VLOOKUP(2,AE13:AO16,5,FALSE)</f>
        <v>0</v>
      </c>
      <c r="S15" s="88" t="str">
        <f>VLOOKUP(2,AE13:AO16,6,FALSE) &amp; " - " &amp; VLOOKUP(2,AE13:AO16,7,FALSE)</f>
        <v>0 - 0</v>
      </c>
      <c r="T15" s="88">
        <f>P15*3+Q15</f>
        <v>0</v>
      </c>
      <c r="V15" s="46" t="e">
        <f>DATE(2022,11,21)+TIME(8,0,0)+gmt_delta</f>
        <v>#N/A</v>
      </c>
      <c r="W15" s="66" t="str">
        <f t="shared" si="0"/>
        <v/>
      </c>
      <c r="X15" s="66" t="str">
        <f t="shared" si="1"/>
        <v/>
      </c>
      <c r="Y15" s="47">
        <f t="shared" si="2"/>
        <v>0</v>
      </c>
      <c r="Z15" s="46">
        <f t="shared" si="3"/>
        <v>0</v>
      </c>
      <c r="AA15" s="46">
        <f t="shared" si="4"/>
        <v>0</v>
      </c>
      <c r="AB15" s="46">
        <f t="shared" si="5"/>
        <v>0</v>
      </c>
      <c r="AC15" s="46" t="str">
        <f t="shared" si="6"/>
        <v/>
      </c>
      <c r="AE15" s="46">
        <f>COUNTIF(AR13:AR16,CONCATENATE("&gt;=",AR15))</f>
        <v>3</v>
      </c>
      <c r="AF15" s="47" t="str">
        <f>VLOOKUP("Ecuador",T,lang,FALSE)</f>
        <v>Ecuador</v>
      </c>
      <c r="AG15" s="46">
        <f>COUNTIF($W$12:$X$59,"=" &amp; AF15 &amp; "_win")</f>
        <v>0</v>
      </c>
      <c r="AH15" s="46">
        <f>COUNTIF($W$12:$X$59,"=" &amp; AF15 &amp; "_draw")</f>
        <v>0</v>
      </c>
      <c r="AI15" s="46">
        <f>COUNTIF($W$12:$X$59,"=" &amp; AF15 &amp; "_lose")</f>
        <v>0</v>
      </c>
      <c r="AJ15" s="46">
        <f>SUMIF($H$12:$H$59,$AF15,$I$12:$I$59) + SUMIF($K$12:$K$59,$AF15,$J$12:$J$59)</f>
        <v>0</v>
      </c>
      <c r="AK15" s="46">
        <f>SUMIF($H$12:$H$59,$AF15,$J$12:$J$59) + SUMIF($K$12:$K$59,$AF15,$I$12:$I$59)</f>
        <v>0</v>
      </c>
      <c r="AL15" s="46">
        <f>(AJ15-AK15)*100+AO15*10000+AJ15</f>
        <v>0</v>
      </c>
      <c r="AM15" s="46">
        <f>AJ15-AK15</f>
        <v>0</v>
      </c>
      <c r="AN15" s="46">
        <f>(AM15-AM18)/AM17</f>
        <v>0</v>
      </c>
      <c r="AO15" s="46">
        <f>AG15*3+AH15</f>
        <v>0</v>
      </c>
      <c r="AP15" s="46">
        <f>AT15/AT17*1000+AU15/AU17*100+AX15/AX17*10+AV15/AV17</f>
        <v>0</v>
      </c>
      <c r="AQ15" s="46">
        <f>VLOOKUP(AF15,db_fifarank,2,FALSE)/2000000</f>
        <v>7.2650000000000004E-4</v>
      </c>
      <c r="AR15" s="47">
        <f>1000*AO15/AO17+100*AN15+10*AJ15/AJ17+1*AP15/AP17+AQ15</f>
        <v>7.2650000000000004E-4</v>
      </c>
      <c r="AT15" s="46">
        <f>SUMPRODUCT(($W$12:$W$59=AF15&amp;"_win")*($Y$12:$Y$59))+SUMPRODUCT(($X$12:$X$59=AF15&amp;"_win")*($Y$12:$Y$59))</f>
        <v>0</v>
      </c>
      <c r="AU15" s="46">
        <f>SUMPRODUCT(($W$12:$W$59=AF15&amp;"_draw")*($Y$12:$Y$59))+SUMPRODUCT(($X$12:$X$59=AF15&amp;"_draw")*($Y$12:$Y$59))</f>
        <v>0</v>
      </c>
      <c r="AV15" s="46">
        <f>SUMPRODUCT(($H$12:$H$59=AF15)*($Y$12:$Y$59)*($I$12:$I$59))+SUMPRODUCT(($K$12:$K$59=AF15)*($Y$12:$Y$59)*($J$12:$J$59))</f>
        <v>0</v>
      </c>
      <c r="AW15" s="46">
        <f>SUMPRODUCT(($H$12:$H$59=AF15)*($Y$12:$Y$59)*($J$12:$J$59))+SUMPRODUCT(($K$12:$K$59=AF15)*($Y$12:$Y$59)*($I$12:$I$59))</f>
        <v>0</v>
      </c>
      <c r="AX15" s="46">
        <f>AV15-AW15</f>
        <v>0</v>
      </c>
      <c r="BC15" s="195">
        <v>49</v>
      </c>
      <c r="BD15" s="92" t="str">
        <f>AS13</f>
        <v>1A</v>
      </c>
      <c r="BE15" s="93"/>
      <c r="BF15" s="94"/>
      <c r="BG15" s="95"/>
      <c r="BH15" s="85"/>
      <c r="BI15" s="85"/>
      <c r="BJ15" s="85"/>
      <c r="BK15" s="85"/>
      <c r="BL15" s="85"/>
      <c r="BM15" s="85"/>
      <c r="BN15" s="85"/>
      <c r="BO15" s="85"/>
      <c r="BP15" s="85"/>
      <c r="BQ15" s="85"/>
      <c r="BR15" s="85"/>
      <c r="BS15" s="85"/>
      <c r="BT15" s="85"/>
      <c r="BU15" s="85"/>
      <c r="BV15" s="85"/>
      <c r="BW15" s="85"/>
      <c r="BX15" s="85"/>
      <c r="BY15" s="85"/>
      <c r="BZ15" s="85"/>
      <c r="CA15" s="85"/>
      <c r="CB15" s="85"/>
    </row>
    <row r="16" spans="1:81" ht="15" customHeight="1" x14ac:dyDescent="0.45">
      <c r="A16" s="32" t="str">
        <f>IF('Your Details'!$D$11="","",'Your Details'!$D$11)</f>
        <v/>
      </c>
      <c r="B16" s="32" t="str">
        <f>IF('Your Details'!$D$13="","",'Your Details'!$D$13)</f>
        <v/>
      </c>
      <c r="C16" s="32" t="str">
        <f>IF('Your Details'!$D$14="","",'Your Details'!$D$14)</f>
        <v/>
      </c>
      <c r="D16" s="86">
        <v>5</v>
      </c>
      <c r="E16" s="78" t="s">
        <v>17</v>
      </c>
      <c r="F16" s="79">
        <v>44887</v>
      </c>
      <c r="G16" s="80">
        <v>0.54166666666666663</v>
      </c>
      <c r="H16" s="81" t="s">
        <v>43</v>
      </c>
      <c r="I16" s="82"/>
      <c r="J16" s="82"/>
      <c r="K16" s="83" t="s">
        <v>44</v>
      </c>
      <c r="L16" s="76" t="str">
        <f t="shared" si="7"/>
        <v/>
      </c>
      <c r="N16" s="87" t="str">
        <f>VLOOKUP(3,AE13:AO16,2,FALSE)</f>
        <v>Ecuador</v>
      </c>
      <c r="O16" s="88">
        <f>P16+Q16+R16</f>
        <v>0</v>
      </c>
      <c r="P16" s="88">
        <f>VLOOKUP(3,AE13:AO16,3,FALSE)</f>
        <v>0</v>
      </c>
      <c r="Q16" s="88">
        <f>VLOOKUP(3,AE13:AO16,4,FALSE)</f>
        <v>0</v>
      </c>
      <c r="R16" s="88">
        <f>VLOOKUP(3,AE13:AO16,5,FALSE)</f>
        <v>0</v>
      </c>
      <c r="S16" s="88" t="str">
        <f>VLOOKUP(3,AE13:AO16,6,FALSE) &amp; " - " &amp; VLOOKUP(3,AE13:AO16,7,FALSE)</f>
        <v>0 - 0</v>
      </c>
      <c r="T16" s="88">
        <f>P16*3+Q16</f>
        <v>0</v>
      </c>
      <c r="V16" s="46" t="e">
        <f>DATE(2022,11,21)+TIME(23,0,0)+gmt_delta</f>
        <v>#N/A</v>
      </c>
      <c r="W16" s="66" t="str">
        <f t="shared" si="0"/>
        <v/>
      </c>
      <c r="X16" s="66" t="str">
        <f t="shared" si="1"/>
        <v/>
      </c>
      <c r="Y16" s="47">
        <f t="shared" si="2"/>
        <v>0</v>
      </c>
      <c r="Z16" s="46">
        <f t="shared" si="3"/>
        <v>0</v>
      </c>
      <c r="AA16" s="46">
        <f t="shared" si="4"/>
        <v>0</v>
      </c>
      <c r="AB16" s="46">
        <f t="shared" si="5"/>
        <v>0</v>
      </c>
      <c r="AC16" s="46" t="str">
        <f t="shared" si="6"/>
        <v/>
      </c>
      <c r="AE16" s="46">
        <f>COUNTIF(AR13:AR16,CONCATENATE("&gt;=",AR16))</f>
        <v>1</v>
      </c>
      <c r="AF16" s="47" t="str">
        <f>VLOOKUP("Netherlands",T,lang,FALSE)</f>
        <v>Netherlands</v>
      </c>
      <c r="AG16" s="46">
        <f>COUNTIF($W$12:$X$59,"=" &amp; AF16 &amp; "_win")</f>
        <v>0</v>
      </c>
      <c r="AH16" s="46">
        <f>COUNTIF($W$12:$X$59,"=" &amp; AF16 &amp; "_draw")</f>
        <v>0</v>
      </c>
      <c r="AI16" s="46">
        <f>COUNTIF($W$12:$X$59,"=" &amp; AF16 &amp; "_lose")</f>
        <v>0</v>
      </c>
      <c r="AJ16" s="46">
        <f>SUMIF($H$12:$H$59,$AF16,$I$12:$I$59) + SUMIF($K$12:$K$59,$AF16,$J$12:$J$59)</f>
        <v>0</v>
      </c>
      <c r="AK16" s="46">
        <f>SUMIF($H$12:$H$59,$AF16,$J$12:$J$59) + SUMIF($K$12:$K$59,$AF16,$I$12:$I$59)</f>
        <v>0</v>
      </c>
      <c r="AL16" s="46">
        <f>(AJ16-AK16)*100+AO16*10000+AJ16</f>
        <v>0</v>
      </c>
      <c r="AM16" s="46">
        <f>AJ16-AK16</f>
        <v>0</v>
      </c>
      <c r="AN16" s="46">
        <f>(AM16-AM18)/AM17</f>
        <v>0</v>
      </c>
      <c r="AO16" s="46">
        <f>AG16*3+AH16</f>
        <v>0</v>
      </c>
      <c r="AP16" s="46">
        <f>AT16/AT17*1000+AU16/AU17*100+AX16/AX17*10+AV16/AV17</f>
        <v>0</v>
      </c>
      <c r="AQ16" s="46">
        <f>VLOOKUP(AF16,db_fifarank,2,FALSE)/2000000</f>
        <v>8.2933000000000008E-4</v>
      </c>
      <c r="AR16" s="47">
        <f>1000*AO16/AO17+100*AN16+10*AJ16/AJ17+1*AP16/AP17+AQ16</f>
        <v>8.2933000000000008E-4</v>
      </c>
      <c r="AT16" s="46">
        <f>SUMPRODUCT(($W$12:$W$59=AF16&amp;"_win")*($Y$12:$Y$59))+SUMPRODUCT(($X$12:$X$59=AF16&amp;"_win")*($Y$12:$Y$59))</f>
        <v>0</v>
      </c>
      <c r="AU16" s="46">
        <f>SUMPRODUCT(($W$12:$W$59=AF16&amp;"_draw")*($Y$12:$Y$59))+SUMPRODUCT(($X$12:$X$59=AF16&amp;"_draw")*($Y$12:$Y$59))</f>
        <v>0</v>
      </c>
      <c r="AV16" s="46">
        <f>SUMPRODUCT(($H$12:$H$59=AF16)*($Y$12:$Y$59)*($I$12:$I$59))+SUMPRODUCT(($K$12:$K$59=AF16)*($Y$12:$Y$59)*($J$12:$J$59))</f>
        <v>0</v>
      </c>
      <c r="AW16" s="46">
        <f>SUMPRODUCT(($H$12:$H$59=AF16)*($Y$12:$Y$59)*($J$12:$J$59))+SUMPRODUCT(($K$12:$K$59=AF16)*($Y$12:$Y$59)*($I$12:$I$59))</f>
        <v>0</v>
      </c>
      <c r="AX16" s="46">
        <f>AV16-AW16</f>
        <v>0</v>
      </c>
      <c r="BC16" s="195"/>
      <c r="BD16" s="92" t="str">
        <f>AS20</f>
        <v>2B</v>
      </c>
      <c r="BE16" s="93"/>
      <c r="BF16" s="94"/>
      <c r="BG16" s="95"/>
      <c r="BH16" s="96"/>
      <c r="BI16" s="85"/>
      <c r="BJ16" s="89" t="s">
        <v>181</v>
      </c>
      <c r="BK16" s="89"/>
      <c r="BL16" s="90" t="s">
        <v>179</v>
      </c>
      <c r="BM16" s="90" t="s">
        <v>236</v>
      </c>
      <c r="BN16" s="91" t="s">
        <v>180</v>
      </c>
      <c r="BO16" s="85"/>
      <c r="BP16" s="85"/>
      <c r="BQ16" s="85"/>
      <c r="BR16" s="85"/>
      <c r="BS16" s="85"/>
      <c r="BT16" s="85"/>
      <c r="BU16" s="85"/>
      <c r="BV16" s="85"/>
      <c r="BW16" s="85"/>
      <c r="BX16" s="85"/>
      <c r="BY16" s="85"/>
      <c r="BZ16" s="85"/>
      <c r="CA16" s="85"/>
      <c r="CB16" s="85"/>
    </row>
    <row r="17" spans="1:80" ht="15" customHeight="1" x14ac:dyDescent="0.45">
      <c r="A17" s="32" t="str">
        <f>IF('Your Details'!$D$11="","",'Your Details'!$D$11)</f>
        <v/>
      </c>
      <c r="B17" s="32" t="str">
        <f>IF('Your Details'!$D$13="","",'Your Details'!$D$13)</f>
        <v/>
      </c>
      <c r="C17" s="32" t="str">
        <f>IF('Your Details'!$D$14="","",'Your Details'!$D$14)</f>
        <v/>
      </c>
      <c r="D17" s="77">
        <v>6</v>
      </c>
      <c r="E17" s="78" t="s">
        <v>17</v>
      </c>
      <c r="F17" s="79">
        <v>44887</v>
      </c>
      <c r="G17" s="80">
        <v>0.66666666666666663</v>
      </c>
      <c r="H17" s="81" t="s">
        <v>49</v>
      </c>
      <c r="I17" s="82"/>
      <c r="J17" s="82"/>
      <c r="K17" s="83" t="s">
        <v>50</v>
      </c>
      <c r="L17" s="76" t="str">
        <f t="shared" si="7"/>
        <v/>
      </c>
      <c r="N17" s="87" t="str">
        <f>VLOOKUP(4,AE13:AO16,2,FALSE)</f>
        <v>Qatar</v>
      </c>
      <c r="O17" s="88">
        <f>P17+Q17+R17</f>
        <v>0</v>
      </c>
      <c r="P17" s="88">
        <f>VLOOKUP(4,AE13:AO16,3,FALSE)</f>
        <v>0</v>
      </c>
      <c r="Q17" s="88">
        <f>VLOOKUP(4,AE13:AO16,4,FALSE)</f>
        <v>0</v>
      </c>
      <c r="R17" s="88">
        <f>VLOOKUP(4,AE13:AO16,5,FALSE)</f>
        <v>0</v>
      </c>
      <c r="S17" s="88" t="str">
        <f>VLOOKUP(4,AE13:AO16,6,FALSE) &amp; " - " &amp; VLOOKUP(4,AE13:AO16,7,FALSE)</f>
        <v>0 - 0</v>
      </c>
      <c r="T17" s="88">
        <f>P17*3+Q17</f>
        <v>0</v>
      </c>
      <c r="V17" s="46" t="e">
        <f>DATE(2022,11,22)+TIME(2,0,0)+gmt_delta</f>
        <v>#N/A</v>
      </c>
      <c r="W17" s="66" t="str">
        <f t="shared" si="0"/>
        <v/>
      </c>
      <c r="X17" s="66" t="str">
        <f t="shared" si="1"/>
        <v/>
      </c>
      <c r="Y17" s="47">
        <f t="shared" si="2"/>
        <v>0</v>
      </c>
      <c r="Z17" s="46">
        <f t="shared" si="3"/>
        <v>0</v>
      </c>
      <c r="AA17" s="46">
        <f t="shared" si="4"/>
        <v>0</v>
      </c>
      <c r="AB17" s="46">
        <f t="shared" si="5"/>
        <v>0</v>
      </c>
      <c r="AC17" s="46" t="str">
        <f t="shared" si="6"/>
        <v/>
      </c>
      <c r="AG17" s="46">
        <f t="shared" ref="AG17:AP17" si="8">MAX(AG13:AG16)-MIN(AG13:AG16)+1</f>
        <v>1</v>
      </c>
      <c r="AH17" s="46">
        <f t="shared" si="8"/>
        <v>1</v>
      </c>
      <c r="AI17" s="46">
        <f t="shared" si="8"/>
        <v>1</v>
      </c>
      <c r="AJ17" s="46">
        <f t="shared" si="8"/>
        <v>1</v>
      </c>
      <c r="AK17" s="46">
        <f t="shared" si="8"/>
        <v>1</v>
      </c>
      <c r="AL17" s="46">
        <f>MAX(AL13:AL16)-AL18+1</f>
        <v>1</v>
      </c>
      <c r="AM17" s="46">
        <f>MAX(AM13:AM16)-AM18+1</f>
        <v>1</v>
      </c>
      <c r="AO17" s="46">
        <f t="shared" si="8"/>
        <v>1</v>
      </c>
      <c r="AP17" s="46">
        <f t="shared" si="8"/>
        <v>1</v>
      </c>
      <c r="AT17" s="46">
        <f>MAX(AT13:AT16)-MIN(AT13:AT16)+1</f>
        <v>1</v>
      </c>
      <c r="AU17" s="46">
        <f>MAX(AU13:AU16)-MIN(AU13:AU16)+1</f>
        <v>1</v>
      </c>
      <c r="AV17" s="46">
        <f>MAX(AV13:AV16)-MIN(AV13:AV16)+1</f>
        <v>1</v>
      </c>
      <c r="AW17" s="46">
        <f>MAX(AW13:AW16)-MIN(AW13:AW16)+1</f>
        <v>1</v>
      </c>
      <c r="AX17" s="46">
        <f>MAX(AX13:AX16)-MIN(AX13:AX16)+1</f>
        <v>1</v>
      </c>
      <c r="BC17" s="85"/>
      <c r="BD17" s="85"/>
      <c r="BE17" s="85"/>
      <c r="BF17" s="85"/>
      <c r="BG17" s="85"/>
      <c r="BH17" s="97"/>
      <c r="BI17" s="85"/>
      <c r="BJ17" s="195">
        <v>57</v>
      </c>
      <c r="BK17" s="92" t="str">
        <f>X63</f>
        <v>W49</v>
      </c>
      <c r="BL17" s="93"/>
      <c r="BM17" s="94"/>
      <c r="BN17" s="95"/>
      <c r="BO17" s="85"/>
      <c r="BP17" s="85"/>
      <c r="BQ17" s="85"/>
      <c r="BR17" s="85"/>
      <c r="BS17" s="85"/>
      <c r="BT17" s="85"/>
      <c r="BU17" s="85"/>
      <c r="BV17" s="85"/>
      <c r="BW17" s="85"/>
      <c r="BX17" s="85"/>
      <c r="BY17" s="85"/>
      <c r="BZ17" s="85"/>
      <c r="CA17" s="85"/>
      <c r="CB17" s="85"/>
    </row>
    <row r="18" spans="1:80" ht="15" customHeight="1" x14ac:dyDescent="0.45">
      <c r="A18" s="32" t="str">
        <f>IF('Your Details'!$D$11="","",'Your Details'!$D$11)</f>
        <v/>
      </c>
      <c r="B18" s="32" t="str">
        <f>IF('Your Details'!$D$13="","",'Your Details'!$D$13)</f>
        <v/>
      </c>
      <c r="C18" s="32" t="str">
        <f>IF('Your Details'!$D$14="","",'Your Details'!$D$14)</f>
        <v/>
      </c>
      <c r="D18" s="77">
        <v>7</v>
      </c>
      <c r="E18" s="78" t="s">
        <v>17</v>
      </c>
      <c r="F18" s="79">
        <v>44887</v>
      </c>
      <c r="G18" s="80">
        <v>0.79166666666666663</v>
      </c>
      <c r="H18" s="81" t="s">
        <v>45</v>
      </c>
      <c r="I18" s="82"/>
      <c r="J18" s="82"/>
      <c r="K18" s="83" t="s">
        <v>46</v>
      </c>
      <c r="L18" s="76" t="str">
        <f t="shared" si="7"/>
        <v/>
      </c>
      <c r="V18" s="46" t="e">
        <f>DATE(2022,11,22)+TIME(5,0,0)+gmt_delta</f>
        <v>#N/A</v>
      </c>
      <c r="W18" s="66" t="str">
        <f t="shared" si="0"/>
        <v/>
      </c>
      <c r="X18" s="66" t="str">
        <f t="shared" si="1"/>
        <v/>
      </c>
      <c r="Y18" s="47">
        <f t="shared" si="2"/>
        <v>0</v>
      </c>
      <c r="Z18" s="46">
        <f t="shared" si="3"/>
        <v>0</v>
      </c>
      <c r="AA18" s="46">
        <f t="shared" si="4"/>
        <v>0</v>
      </c>
      <c r="AB18" s="46">
        <f t="shared" si="5"/>
        <v>0</v>
      </c>
      <c r="AC18" s="46" t="str">
        <f t="shared" si="6"/>
        <v/>
      </c>
      <c r="AL18" s="46">
        <f>MIN(AL13:AL16)</f>
        <v>0</v>
      </c>
      <c r="AM18" s="46">
        <f>MIN(AM13:AM16)</f>
        <v>0</v>
      </c>
      <c r="BC18" s="89" t="s">
        <v>182</v>
      </c>
      <c r="BD18" s="89"/>
      <c r="BE18" s="85"/>
      <c r="BF18" s="85"/>
      <c r="BG18" s="98"/>
      <c r="BH18" s="97"/>
      <c r="BI18" s="99"/>
      <c r="BJ18" s="195"/>
      <c r="BK18" s="92" t="str">
        <f>X64</f>
        <v>W50</v>
      </c>
      <c r="BL18" s="93"/>
      <c r="BM18" s="94"/>
      <c r="BN18" s="95"/>
      <c r="BO18" s="96"/>
      <c r="BP18" s="85"/>
      <c r="BQ18" s="85"/>
      <c r="BR18" s="85"/>
      <c r="BS18" s="85"/>
      <c r="BT18" s="85"/>
      <c r="BU18" s="85"/>
      <c r="BV18" s="85"/>
      <c r="BW18" s="85"/>
      <c r="BX18" s="85"/>
      <c r="BY18" s="85"/>
      <c r="BZ18" s="85"/>
      <c r="CA18" s="85"/>
      <c r="CB18" s="85"/>
    </row>
    <row r="19" spans="1:80" ht="15" customHeight="1" x14ac:dyDescent="0.45">
      <c r="A19" s="32" t="str">
        <f>IF('Your Details'!$D$11="","",'Your Details'!$D$11)</f>
        <v/>
      </c>
      <c r="B19" s="32" t="str">
        <f>IF('Your Details'!$D$13="","",'Your Details'!$D$13)</f>
        <v/>
      </c>
      <c r="C19" s="32" t="str">
        <f>IF('Your Details'!$D$14="","",'Your Details'!$D$14)</f>
        <v/>
      </c>
      <c r="D19" s="77">
        <v>8</v>
      </c>
      <c r="E19" s="78" t="s">
        <v>17</v>
      </c>
      <c r="F19" s="79">
        <v>44887</v>
      </c>
      <c r="G19" s="80">
        <v>0.91666666666666663</v>
      </c>
      <c r="H19" s="81" t="s">
        <v>47</v>
      </c>
      <c r="I19" s="82"/>
      <c r="J19" s="82"/>
      <c r="K19" s="83" t="s">
        <v>48</v>
      </c>
      <c r="L19" s="76" t="str">
        <f t="shared" si="7"/>
        <v/>
      </c>
      <c r="N19" s="84" t="s">
        <v>183</v>
      </c>
      <c r="O19" s="84" t="s">
        <v>9</v>
      </c>
      <c r="P19" s="84" t="s">
        <v>10</v>
      </c>
      <c r="Q19" s="84" t="s">
        <v>169</v>
      </c>
      <c r="R19" s="84" t="s">
        <v>12</v>
      </c>
      <c r="S19" s="84" t="s">
        <v>13</v>
      </c>
      <c r="T19" s="84" t="s">
        <v>177</v>
      </c>
      <c r="V19" s="46" t="e">
        <f>DATE(2022,11,22)+TIME(8,0,0)+gmt_delta</f>
        <v>#N/A</v>
      </c>
      <c r="W19" s="66" t="str">
        <f t="shared" si="0"/>
        <v/>
      </c>
      <c r="X19" s="66" t="str">
        <f t="shared" si="1"/>
        <v/>
      </c>
      <c r="Y19" s="47">
        <f t="shared" si="2"/>
        <v>0</v>
      </c>
      <c r="Z19" s="46">
        <f t="shared" si="3"/>
        <v>0</v>
      </c>
      <c r="AA19" s="46">
        <f t="shared" si="4"/>
        <v>0</v>
      </c>
      <c r="AB19" s="46">
        <f t="shared" si="5"/>
        <v>0</v>
      </c>
      <c r="AC19" s="46" t="str">
        <f t="shared" si="6"/>
        <v/>
      </c>
      <c r="AE19" s="46">
        <f>COUNTIF(AR19:AR22,CONCATENATE("&gt;=",AR19))</f>
        <v>1</v>
      </c>
      <c r="AF19" s="47" t="str">
        <f>VLOOKUP("England",T,lang,FALSE)</f>
        <v>England</v>
      </c>
      <c r="AG19" s="46">
        <f>COUNTIF($W$12:$X$59,"=" &amp; AF19 &amp; "_win")</f>
        <v>0</v>
      </c>
      <c r="AH19" s="46">
        <f>COUNTIF($W$12:$X$59,"=" &amp; AF19 &amp; "_draw")</f>
        <v>0</v>
      </c>
      <c r="AI19" s="46">
        <f>COUNTIF($W$12:$X$59,"=" &amp; AF19 &amp; "_lose")</f>
        <v>0</v>
      </c>
      <c r="AJ19" s="46">
        <f>SUMIF($H$12:$H$59,$AF19,$I$12:$I$59) + SUMIF($K$12:$K$59,$AF19,$J$12:$J$59)</f>
        <v>0</v>
      </c>
      <c r="AK19" s="46">
        <f>SUMIF($H$12:$H$59,$AF19,$J$12:$J$59) + SUMIF($K$12:$K$59,$AF19,$I$12:$I$59)</f>
        <v>0</v>
      </c>
      <c r="AL19" s="46">
        <f>(AJ19-AK19)*100+AO19*10000+AJ19</f>
        <v>0</v>
      </c>
      <c r="AM19" s="46">
        <f>AJ19-AK19</f>
        <v>0</v>
      </c>
      <c r="AN19" s="46">
        <f>(AM19-AM24)/AM23</f>
        <v>0</v>
      </c>
      <c r="AO19" s="46">
        <f>AG19*3+AH19</f>
        <v>0</v>
      </c>
      <c r="AP19" s="46">
        <f>AT19/AT23*1000+AU19/AU23*100+AX19/AX23*10+AV19/AV23</f>
        <v>0</v>
      </c>
      <c r="AQ19" s="46">
        <f>VLOOKUP(AF19,db_fifarank,2,FALSE)/2000000</f>
        <v>8.8099999999999995E-4</v>
      </c>
      <c r="AR19" s="47">
        <f>1000*AO19/AO23+100*AN19+10*AJ19/AJ23+1*AP19/AP23+AQ19</f>
        <v>8.8099999999999995E-4</v>
      </c>
      <c r="AS19" s="47" t="str">
        <f>IF(SUM(AG19:AI22)=12,N20,INDEX(T,72,lang))</f>
        <v>1B</v>
      </c>
      <c r="AT19" s="46">
        <f>SUMPRODUCT(($W$12:$W$59=AF19&amp;"_win")*($Y$12:$Y$59))+SUMPRODUCT(($X$12:$X$59=AF19&amp;"_win")*($Y$12:$Y$59))</f>
        <v>0</v>
      </c>
      <c r="AU19" s="46">
        <f>SUMPRODUCT(($W$12:$W$59=AF19&amp;"_draw")*($Y$12:$Y$59))+SUMPRODUCT(($X$12:$X$59=AF19&amp;"_draw")*($Y$12:$Y$59))</f>
        <v>0</v>
      </c>
      <c r="AV19" s="46">
        <f>SUMPRODUCT(($H$12:$H$59=AF19)*($Y$12:$Y$59)*($I$12:$I$59))+SUMPRODUCT(($K$12:$K$59=AF19)*($Y$12:$Y$59)*($J$12:$J$59))</f>
        <v>0</v>
      </c>
      <c r="AW19" s="46">
        <f>SUMPRODUCT(($H$12:$H$59=AF19)*($Y$12:$Y$59)*($J$12:$J$59))+SUMPRODUCT(($K$12:$K$59=AF19)*($Y$12:$Y$59)*($I$12:$I$59))</f>
        <v>0</v>
      </c>
      <c r="AX19" s="46">
        <f>AV19-AW19</f>
        <v>0</v>
      </c>
      <c r="BC19" s="195">
        <v>50</v>
      </c>
      <c r="BD19" s="92" t="str">
        <f>AS25</f>
        <v>1C</v>
      </c>
      <c r="BE19" s="93"/>
      <c r="BF19" s="94"/>
      <c r="BG19" s="95"/>
      <c r="BH19" s="100"/>
      <c r="BI19" s="85"/>
      <c r="BJ19" s="85"/>
      <c r="BK19" s="85"/>
      <c r="BL19" s="85"/>
      <c r="BM19" s="85"/>
      <c r="BN19" s="85"/>
      <c r="BO19" s="97"/>
      <c r="BP19" s="85"/>
      <c r="BQ19" s="85"/>
      <c r="BR19" s="85"/>
      <c r="BS19" s="85"/>
      <c r="BT19" s="85"/>
      <c r="BU19" s="98"/>
      <c r="BV19" s="85"/>
      <c r="BW19" s="85"/>
      <c r="BX19" s="85"/>
      <c r="BY19" s="85"/>
      <c r="BZ19" s="85"/>
      <c r="CA19" s="85"/>
      <c r="CB19" s="85"/>
    </row>
    <row r="20" spans="1:80" ht="15" customHeight="1" x14ac:dyDescent="0.45">
      <c r="A20" s="32" t="str">
        <f>IF('Your Details'!$D$11="","",'Your Details'!$D$11)</f>
        <v/>
      </c>
      <c r="B20" s="32" t="str">
        <f>IF('Your Details'!$D$13="","",'Your Details'!$D$13)</f>
        <v/>
      </c>
      <c r="C20" s="32" t="str">
        <f>IF('Your Details'!$D$14="","",'Your Details'!$D$14)</f>
        <v/>
      </c>
      <c r="D20" s="77">
        <v>9</v>
      </c>
      <c r="E20" s="78" t="s">
        <v>18</v>
      </c>
      <c r="F20" s="79">
        <v>44888</v>
      </c>
      <c r="G20" s="80">
        <v>0.54166666666666663</v>
      </c>
      <c r="H20" s="81" t="s">
        <v>57</v>
      </c>
      <c r="I20" s="82"/>
      <c r="J20" s="82"/>
      <c r="K20" s="83" t="s">
        <v>58</v>
      </c>
      <c r="L20" s="76" t="str">
        <f t="shared" si="7"/>
        <v/>
      </c>
      <c r="N20" s="87" t="str">
        <f>VLOOKUP(1,AE19:AO22,2,FALSE)</f>
        <v>England</v>
      </c>
      <c r="O20" s="88">
        <f>P20+Q20+R20</f>
        <v>0</v>
      </c>
      <c r="P20" s="88">
        <f>VLOOKUP(1,AE19:AO22,3,FALSE)</f>
        <v>0</v>
      </c>
      <c r="Q20" s="88">
        <f>VLOOKUP(1,AE19:AO22,4,FALSE)</f>
        <v>0</v>
      </c>
      <c r="R20" s="88">
        <f>VLOOKUP(1,AE19:AO22,5,FALSE)</f>
        <v>0</v>
      </c>
      <c r="S20" s="88" t="str">
        <f>VLOOKUP(1,AE19:AO22,6,FALSE) &amp; " - " &amp; VLOOKUP(1,AE19:AO22,7,FALSE)</f>
        <v>0 - 0</v>
      </c>
      <c r="T20" s="88">
        <f>P20*3+Q20</f>
        <v>0</v>
      </c>
      <c r="V20" s="46" t="e">
        <f>DATE(2022,11,22)+TIME(23,0,0)+gmt_delta</f>
        <v>#N/A</v>
      </c>
      <c r="W20" s="66" t="str">
        <f t="shared" si="0"/>
        <v/>
      </c>
      <c r="X20" s="66" t="str">
        <f t="shared" si="1"/>
        <v/>
      </c>
      <c r="Y20" s="47">
        <f t="shared" si="2"/>
        <v>0</v>
      </c>
      <c r="Z20" s="46">
        <f t="shared" si="3"/>
        <v>0</v>
      </c>
      <c r="AA20" s="46">
        <f t="shared" si="4"/>
        <v>0</v>
      </c>
      <c r="AB20" s="46">
        <f t="shared" si="5"/>
        <v>0</v>
      </c>
      <c r="AC20" s="46" t="str">
        <f t="shared" si="6"/>
        <v/>
      </c>
      <c r="AE20" s="46">
        <f>COUNTIF(AR19:AR22,CONCATENATE("&gt;=",AR20))</f>
        <v>4</v>
      </c>
      <c r="AF20" s="47" t="str">
        <f>VLOOKUP("Iran",T,lang,FALSE)</f>
        <v>Iran</v>
      </c>
      <c r="AG20" s="46">
        <f>COUNTIF($W$12:$X$59,"=" &amp; AF20 &amp; "_win")</f>
        <v>0</v>
      </c>
      <c r="AH20" s="46">
        <f>COUNTIF($W$12:$X$59,"=" &amp; AF20 &amp; "_draw")</f>
        <v>0</v>
      </c>
      <c r="AI20" s="46">
        <f>COUNTIF($W$12:$X$59,"=" &amp; AF20 &amp; "_lose")</f>
        <v>0</v>
      </c>
      <c r="AJ20" s="46">
        <f>SUMIF($H$12:$H$59,$AF20,$I$12:$I$59) + SUMIF($K$12:$K$59,$AF20,$J$12:$J$59)</f>
        <v>0</v>
      </c>
      <c r="AK20" s="46">
        <f>SUMIF($H$12:$H$59,$AF20,$J$12:$J$59) + SUMIF($K$12:$K$59,$AF20,$I$12:$I$59)</f>
        <v>0</v>
      </c>
      <c r="AL20" s="46">
        <f>(AJ20-AK20)*100+AO20*10000+AJ20</f>
        <v>0</v>
      </c>
      <c r="AM20" s="46">
        <f>AJ20-AK20</f>
        <v>0</v>
      </c>
      <c r="AN20" s="46">
        <f>(AM20-AM24)/AM23</f>
        <v>0</v>
      </c>
      <c r="AO20" s="46">
        <f>AG20*3+AH20</f>
        <v>0</v>
      </c>
      <c r="AP20" s="46">
        <f>AT20/AT23*1000+AU20/AU23*100+AX20/AX23*10+AV20/AV23</f>
        <v>0</v>
      </c>
      <c r="AQ20" s="46">
        <f>VLOOKUP(AF20,db_fifarank,2,FALSE)/2000000</f>
        <v>7.8200000000000003E-4</v>
      </c>
      <c r="AR20" s="47">
        <f>1000*AO20/AO23+100*AN20+10*AJ20/AJ23+1*AP20/AP23+AQ20</f>
        <v>7.8200000000000003E-4</v>
      </c>
      <c r="AS20" s="47" t="str">
        <f>IF(SUM(AG19:AI22)=12,N21,INDEX(T,73,lang))</f>
        <v>2B</v>
      </c>
      <c r="AT20" s="46">
        <f>SUMPRODUCT(($W$12:$W$59=AF20&amp;"_win")*($Y$12:$Y$59))+SUMPRODUCT(($X$12:$X$59=AF20&amp;"_win")*($Y$12:$Y$59))</f>
        <v>0</v>
      </c>
      <c r="AU20" s="46">
        <f>SUMPRODUCT(($W$12:$W$59=AF20&amp;"_draw")*($Y$12:$Y$59))+SUMPRODUCT(($X$12:$X$59=AF20&amp;"_draw")*($Y$12:$Y$59))</f>
        <v>0</v>
      </c>
      <c r="AV20" s="46">
        <f>SUMPRODUCT(($H$12:$H$59=AF20)*($Y$12:$Y$59)*($I$12:$I$59))+SUMPRODUCT(($K$12:$K$59=AF20)*($Y$12:$Y$59)*($J$12:$J$59))</f>
        <v>0</v>
      </c>
      <c r="AW20" s="46">
        <f>SUMPRODUCT(($H$12:$H$59=AF20)*($Y$12:$Y$59)*($J$12:$J$59))+SUMPRODUCT(($K$12:$K$59=AF20)*($Y$12:$Y$59)*($I$12:$I$59))</f>
        <v>0</v>
      </c>
      <c r="AX20" s="46">
        <f>AV20-AW20</f>
        <v>0</v>
      </c>
      <c r="BC20" s="195"/>
      <c r="BD20" s="92" t="str">
        <f>AS32</f>
        <v>2D</v>
      </c>
      <c r="BE20" s="93"/>
      <c r="BF20" s="94"/>
      <c r="BG20" s="95"/>
      <c r="BH20" s="85"/>
      <c r="BI20" s="85"/>
      <c r="BJ20" s="85"/>
      <c r="BK20" s="85"/>
      <c r="BL20" s="85"/>
      <c r="BM20" s="85"/>
      <c r="BN20" s="85"/>
      <c r="BO20" s="97"/>
      <c r="BP20" s="85"/>
      <c r="BQ20" s="89" t="s">
        <v>184</v>
      </c>
      <c r="BR20" s="85"/>
      <c r="BS20" s="90" t="s">
        <v>179</v>
      </c>
      <c r="BT20" s="90" t="s">
        <v>236</v>
      </c>
      <c r="BU20" s="91" t="s">
        <v>180</v>
      </c>
      <c r="BV20" s="85"/>
      <c r="BW20" s="85"/>
      <c r="BX20" s="85"/>
      <c r="BY20" s="85"/>
      <c r="BZ20" s="85"/>
      <c r="CA20" s="85"/>
      <c r="CB20" s="85"/>
    </row>
    <row r="21" spans="1:80" ht="15" customHeight="1" x14ac:dyDescent="0.45">
      <c r="A21" s="32" t="str">
        <f>IF('Your Details'!$D$11="","",'Your Details'!$D$11)</f>
        <v/>
      </c>
      <c r="B21" s="32" t="str">
        <f>IF('Your Details'!$D$13="","",'Your Details'!$D$13)</f>
        <v/>
      </c>
      <c r="C21" s="32" t="str">
        <f>IF('Your Details'!$D$14="","",'Your Details'!$D$14)</f>
        <v/>
      </c>
      <c r="D21" s="77">
        <v>10</v>
      </c>
      <c r="E21" s="78" t="s">
        <v>18</v>
      </c>
      <c r="F21" s="79">
        <v>44888</v>
      </c>
      <c r="G21" s="80">
        <v>0.66666666666666663</v>
      </c>
      <c r="H21" s="81" t="s">
        <v>53</v>
      </c>
      <c r="I21" s="82"/>
      <c r="J21" s="82"/>
      <c r="K21" s="83" t="s">
        <v>54</v>
      </c>
      <c r="L21" s="76" t="str">
        <f t="shared" si="7"/>
        <v/>
      </c>
      <c r="N21" s="87" t="str">
        <f>VLOOKUP(2,AE19:AO22,2,FALSE)</f>
        <v>United States</v>
      </c>
      <c r="O21" s="88">
        <f>P21+Q21+R21</f>
        <v>0</v>
      </c>
      <c r="P21" s="88">
        <f>VLOOKUP(2,AE19:AO22,3,FALSE)</f>
        <v>0</v>
      </c>
      <c r="Q21" s="88">
        <f>VLOOKUP(2,AE19:AO22,4,FALSE)</f>
        <v>0</v>
      </c>
      <c r="R21" s="88">
        <f>VLOOKUP(2,AE19:AO22,5,FALSE)</f>
        <v>0</v>
      </c>
      <c r="S21" s="88" t="str">
        <f>VLOOKUP(2,AE19:AO22,6,FALSE) &amp; " - " &amp; VLOOKUP(2,AE19:AO22,7,FALSE)</f>
        <v>0 - 0</v>
      </c>
      <c r="T21" s="88">
        <f>P21*3+Q21</f>
        <v>0</v>
      </c>
      <c r="V21" s="46" t="e">
        <f>DATE(2022,11,23)+TIME(2,0,0)+gmt_delta</f>
        <v>#N/A</v>
      </c>
      <c r="W21" s="66" t="str">
        <f t="shared" si="0"/>
        <v/>
      </c>
      <c r="X21" s="66" t="str">
        <f t="shared" si="1"/>
        <v/>
      </c>
      <c r="Y21" s="47">
        <f t="shared" si="2"/>
        <v>0</v>
      </c>
      <c r="Z21" s="46">
        <f t="shared" si="3"/>
        <v>0</v>
      </c>
      <c r="AA21" s="46">
        <f t="shared" si="4"/>
        <v>0</v>
      </c>
      <c r="AB21" s="46">
        <f t="shared" si="5"/>
        <v>0</v>
      </c>
      <c r="AC21" s="46" t="str">
        <f t="shared" si="6"/>
        <v/>
      </c>
      <c r="AE21" s="46">
        <f>COUNTIF(AR19:AR22,CONCATENATE("&gt;=",AR21))</f>
        <v>2</v>
      </c>
      <c r="AF21" s="47" t="str">
        <f>VLOOKUP("United States",T,lang,FALSE)</f>
        <v>United States</v>
      </c>
      <c r="AG21" s="46">
        <f>COUNTIF($W$12:$X$59,"=" &amp; AF21 &amp; "_win")</f>
        <v>0</v>
      </c>
      <c r="AH21" s="46">
        <f>COUNTIF($W$12:$X$59,"=" &amp; AF21 &amp; "_draw")</f>
        <v>0</v>
      </c>
      <c r="AI21" s="46">
        <f>COUNTIF($W$12:$X$59,"=" &amp; AF21 &amp; "_lose")</f>
        <v>0</v>
      </c>
      <c r="AJ21" s="46">
        <f>SUMIF($H$12:$H$59,$AF21,$I$12:$I$59) + SUMIF($K$12:$K$59,$AF21,$J$12:$J$59)</f>
        <v>0</v>
      </c>
      <c r="AK21" s="46">
        <f>SUMIF($H$12:$H$59,$AF21,$J$12:$J$59) + SUMIF($K$12:$K$59,$AF21,$I$12:$I$59)</f>
        <v>0</v>
      </c>
      <c r="AL21" s="46">
        <f>(AJ21-AK21)*100+AO21*10000+AJ21</f>
        <v>0</v>
      </c>
      <c r="AM21" s="46">
        <f>AJ21-AK21</f>
        <v>0</v>
      </c>
      <c r="AN21" s="46">
        <f>(AM21-AM24)/AM23</f>
        <v>0</v>
      </c>
      <c r="AO21" s="46">
        <f>AG21*3+AH21</f>
        <v>0</v>
      </c>
      <c r="AP21" s="46">
        <f>AT21/AT23*1000+AU21/AU23*100+AX21/AX23*10+AV21/AV23</f>
        <v>0</v>
      </c>
      <c r="AQ21" s="46">
        <f>VLOOKUP(AF21,db_fifarank,2,FALSE)/2000000</f>
        <v>8.1685999999999998E-4</v>
      </c>
      <c r="AR21" s="47">
        <f>1000*AO21/AO23+100*AN21+10*AJ21/AJ23+1*AP21/AP23+AQ21</f>
        <v>8.1685999999999998E-4</v>
      </c>
      <c r="AT21" s="46">
        <f>SUMPRODUCT(($W$12:$W$59=AF21&amp;"_win")*($Y$12:$Y$59))+SUMPRODUCT(($X$12:$X$59=AF21&amp;"_win")*($Y$12:$Y$59))</f>
        <v>0</v>
      </c>
      <c r="AU21" s="46">
        <f>SUMPRODUCT(($W$12:$W$59=AF21&amp;"_draw")*($Y$12:$Y$59))+SUMPRODUCT(($X$12:$X$59=AF21&amp;"_draw")*($Y$12:$Y$59))</f>
        <v>0</v>
      </c>
      <c r="AV21" s="46">
        <f>SUMPRODUCT(($H$12:$H$59=AF21)*($Y$12:$Y$59)*($I$12:$I$59))+SUMPRODUCT(($K$12:$K$59=AF21)*($Y$12:$Y$59)*($J$12:$J$59))</f>
        <v>0</v>
      </c>
      <c r="AW21" s="46">
        <f>SUMPRODUCT(($H$12:$H$59=AF21)*($Y$12:$Y$59)*($J$12:$J$59))+SUMPRODUCT(($K$12:$K$59=AF21)*($Y$12:$Y$59)*($I$12:$I$59))</f>
        <v>0</v>
      </c>
      <c r="AX21" s="46">
        <f>AV21-AW21</f>
        <v>0</v>
      </c>
      <c r="BC21" s="85"/>
      <c r="BD21" s="85"/>
      <c r="BE21" s="85"/>
      <c r="BF21" s="85"/>
      <c r="BG21" s="85"/>
      <c r="BH21" s="85"/>
      <c r="BI21" s="85"/>
      <c r="BJ21" s="85"/>
      <c r="BK21" s="85"/>
      <c r="BL21" s="85"/>
      <c r="BM21" s="85"/>
      <c r="BN21" s="85"/>
      <c r="BO21" s="97"/>
      <c r="BP21" s="85"/>
      <c r="BQ21" s="195">
        <v>61</v>
      </c>
      <c r="BR21" s="92" t="str">
        <f>X74</f>
        <v>W57</v>
      </c>
      <c r="BS21" s="93"/>
      <c r="BT21" s="94"/>
      <c r="BU21" s="95"/>
      <c r="BV21" s="85"/>
      <c r="BW21" s="85"/>
      <c r="BX21" s="85"/>
      <c r="BY21" s="85"/>
      <c r="BZ21" s="85"/>
      <c r="CA21" s="85"/>
      <c r="CB21" s="85"/>
    </row>
    <row r="22" spans="1:80" ht="15" customHeight="1" x14ac:dyDescent="0.45">
      <c r="A22" s="32" t="str">
        <f>IF('Your Details'!$D$11="","",'Your Details'!$D$11)</f>
        <v/>
      </c>
      <c r="B22" s="32" t="str">
        <f>IF('Your Details'!$D$13="","",'Your Details'!$D$13)</f>
        <v/>
      </c>
      <c r="C22" s="32" t="str">
        <f>IF('Your Details'!$D$14="","",'Your Details'!$D$14)</f>
        <v/>
      </c>
      <c r="D22" s="77">
        <v>11</v>
      </c>
      <c r="E22" s="78" t="s">
        <v>18</v>
      </c>
      <c r="F22" s="79">
        <v>44888</v>
      </c>
      <c r="G22" s="80">
        <v>0.79166666666666663</v>
      </c>
      <c r="H22" s="81" t="s">
        <v>51</v>
      </c>
      <c r="I22" s="82"/>
      <c r="J22" s="82"/>
      <c r="K22" s="83" t="s">
        <v>52</v>
      </c>
      <c r="L22" s="76" t="str">
        <f t="shared" si="7"/>
        <v/>
      </c>
      <c r="N22" s="87" t="str">
        <f>VLOOKUP(3,AE19:AO22,2,FALSE)</f>
        <v>Wales</v>
      </c>
      <c r="O22" s="88">
        <f>P22+Q22+R22</f>
        <v>0</v>
      </c>
      <c r="P22" s="88">
        <f>VLOOKUP(3,AE19:AO22,3,FALSE)</f>
        <v>0</v>
      </c>
      <c r="Q22" s="88">
        <f>VLOOKUP(3,AE19:AO22,4,FALSE)</f>
        <v>0</v>
      </c>
      <c r="R22" s="88">
        <f>VLOOKUP(3,AE19:AO22,5,FALSE)</f>
        <v>0</v>
      </c>
      <c r="S22" s="88" t="str">
        <f>VLOOKUP(3,AE19:AO22,6,FALSE) &amp; " - " &amp; VLOOKUP(3,AE19:AO22,7,FALSE)</f>
        <v>0 - 0</v>
      </c>
      <c r="T22" s="88">
        <f>P22*3+Q22</f>
        <v>0</v>
      </c>
      <c r="V22" s="46" t="e">
        <f>DATE(2022,11,23)+TIME(5,0,0)+gmt_delta</f>
        <v>#N/A</v>
      </c>
      <c r="W22" s="66" t="str">
        <f t="shared" si="0"/>
        <v/>
      </c>
      <c r="X22" s="66" t="str">
        <f t="shared" si="1"/>
        <v/>
      </c>
      <c r="Y22" s="47">
        <f t="shared" si="2"/>
        <v>0</v>
      </c>
      <c r="Z22" s="46">
        <f t="shared" si="3"/>
        <v>0</v>
      </c>
      <c r="AA22" s="46">
        <f t="shared" si="4"/>
        <v>0</v>
      </c>
      <c r="AB22" s="46">
        <f t="shared" si="5"/>
        <v>0</v>
      </c>
      <c r="AC22" s="46" t="str">
        <f t="shared" si="6"/>
        <v/>
      </c>
      <c r="AE22" s="46">
        <f>COUNTIF(AR19:AR22,CONCATENATE("&gt;=",AR22))</f>
        <v>3</v>
      </c>
      <c r="AF22" s="47" t="str">
        <f>VLOOKUP("Wales",T,lang,FALSE)</f>
        <v>Wales</v>
      </c>
      <c r="AG22" s="46">
        <f>COUNTIF($W$12:$X$59,"=" &amp; AF22 &amp; "_win")</f>
        <v>0</v>
      </c>
      <c r="AH22" s="46">
        <f>COUNTIF($W$12:$X$59,"=" &amp; AF22 &amp; "_draw")</f>
        <v>0</v>
      </c>
      <c r="AI22" s="46">
        <f>COUNTIF($W$12:$X$59,"=" &amp; AF22 &amp; "_lose")</f>
        <v>0</v>
      </c>
      <c r="AJ22" s="46">
        <f>SUMIF($H$12:$H$59,$AF22,$I$12:$I$59) + SUMIF($K$12:$K$59,$AF22,$J$12:$J$59)</f>
        <v>0</v>
      </c>
      <c r="AK22" s="46">
        <f>SUMIF($H$12:$H$59,$AF22,$J$12:$J$59) + SUMIF($K$12:$K$59,$AF22,$I$12:$I$59)</f>
        <v>0</v>
      </c>
      <c r="AL22" s="46">
        <f>(AJ22-AK22)*100+AO22*10000+AJ22</f>
        <v>0</v>
      </c>
      <c r="AM22" s="46">
        <f>AJ22-AK22</f>
        <v>0</v>
      </c>
      <c r="AN22" s="46">
        <f>(AM22-AM24)/AM23</f>
        <v>0</v>
      </c>
      <c r="AO22" s="46">
        <f>AG22*3+AH22</f>
        <v>0</v>
      </c>
      <c r="AP22" s="46">
        <f>AT22/AT23*1000+AU22/AU23*100+AX22/AX23*10+AV22/AV23</f>
        <v>0</v>
      </c>
      <c r="AQ22" s="46">
        <f>VLOOKUP(AF22,db_fifarank,2,FALSE)/2000000</f>
        <v>7.9106500000000008E-4</v>
      </c>
      <c r="AR22" s="47">
        <f>1000*AO22/AO23+100*AN22+10*AJ22/AJ23+1*AP22/AP23+AQ22</f>
        <v>7.9106500000000008E-4</v>
      </c>
      <c r="AT22" s="46">
        <f>SUMPRODUCT(($W$12:$W$59=AF22&amp;"_win")*($Y$12:$Y$59))+SUMPRODUCT(($X$12:$X$59=AF22&amp;"_win")*($Y$12:$Y$59))</f>
        <v>0</v>
      </c>
      <c r="AU22" s="46">
        <f>SUMPRODUCT(($W$12:$W$59=AF22&amp;"_draw")*($Y$12:$Y$59))+SUMPRODUCT(($X$12:$X$59=AF22&amp;"_draw")*($Y$12:$Y$59))</f>
        <v>0</v>
      </c>
      <c r="AV22" s="46">
        <f>SUMPRODUCT(($H$12:$H$59=AF22)*($Y$12:$Y$59)*($I$12:$I$59))+SUMPRODUCT(($K$12:$K$59=AF22)*($Y$12:$Y$59)*($J$12:$J$59))</f>
        <v>0</v>
      </c>
      <c r="AW22" s="46">
        <f>SUMPRODUCT(($H$12:$H$59=AF22)*($Y$12:$Y$59)*($J$12:$J$59))+SUMPRODUCT(($K$12:$K$59=AF22)*($Y$12:$Y$59)*($I$12:$I$59))</f>
        <v>0</v>
      </c>
      <c r="AX22" s="46">
        <f>AV22-AW22</f>
        <v>0</v>
      </c>
      <c r="BC22" s="89" t="s">
        <v>185</v>
      </c>
      <c r="BD22" s="89"/>
      <c r="BE22" s="85"/>
      <c r="BF22" s="85"/>
      <c r="BG22" s="98"/>
      <c r="BH22" s="85"/>
      <c r="BI22" s="85"/>
      <c r="BJ22" s="85"/>
      <c r="BK22" s="85"/>
      <c r="BL22" s="85"/>
      <c r="BM22" s="85"/>
      <c r="BN22" s="85"/>
      <c r="BO22" s="97"/>
      <c r="BP22" s="99"/>
      <c r="BQ22" s="195"/>
      <c r="BR22" s="92" t="str">
        <f>X75</f>
        <v>W58</v>
      </c>
      <c r="BS22" s="93"/>
      <c r="BT22" s="94"/>
      <c r="BU22" s="95"/>
      <c r="BV22" s="96"/>
      <c r="BW22" s="101"/>
      <c r="BX22" s="85"/>
      <c r="BY22" s="85"/>
      <c r="BZ22" s="85"/>
      <c r="CA22" s="85"/>
      <c r="CB22" s="85"/>
    </row>
    <row r="23" spans="1:80" ht="15" customHeight="1" x14ac:dyDescent="0.45">
      <c r="A23" s="32" t="str">
        <f>IF('Your Details'!$D$11="","",'Your Details'!$D$11)</f>
        <v/>
      </c>
      <c r="B23" s="32" t="str">
        <f>IF('Your Details'!$D$13="","",'Your Details'!$D$13)</f>
        <v/>
      </c>
      <c r="C23" s="32" t="str">
        <f>IF('Your Details'!$D$14="","",'Your Details'!$D$14)</f>
        <v/>
      </c>
      <c r="D23" s="77">
        <v>12</v>
      </c>
      <c r="E23" s="78" t="s">
        <v>18</v>
      </c>
      <c r="F23" s="79">
        <v>44888</v>
      </c>
      <c r="G23" s="80">
        <v>0.91666666666666663</v>
      </c>
      <c r="H23" s="81" t="s">
        <v>55</v>
      </c>
      <c r="I23" s="82"/>
      <c r="J23" s="82"/>
      <c r="K23" s="83" t="s">
        <v>56</v>
      </c>
      <c r="L23" s="76" t="str">
        <f t="shared" si="7"/>
        <v/>
      </c>
      <c r="N23" s="87" t="str">
        <f>VLOOKUP(4,AE19:AO22,2,FALSE)</f>
        <v>Iran</v>
      </c>
      <c r="O23" s="88">
        <f>P23+Q23+R23</f>
        <v>0</v>
      </c>
      <c r="P23" s="88">
        <f>VLOOKUP(4,AE19:AO22,3,FALSE)</f>
        <v>0</v>
      </c>
      <c r="Q23" s="88">
        <f>VLOOKUP(4,AE19:AO22,4,FALSE)</f>
        <v>0</v>
      </c>
      <c r="R23" s="88">
        <f>VLOOKUP(4,AE19:AO22,5,FALSE)</f>
        <v>0</v>
      </c>
      <c r="S23" s="88" t="str">
        <f>VLOOKUP(4,AE19:AO22,6,FALSE) &amp; " - " &amp; VLOOKUP(4,AE19:AO22,7,FALSE)</f>
        <v>0 - 0</v>
      </c>
      <c r="T23" s="88">
        <f>P23*3+Q23</f>
        <v>0</v>
      </c>
      <c r="V23" s="46" t="e">
        <f>DATE(2022,11,23)+TIME(8,0,0)+gmt_delta</f>
        <v>#N/A</v>
      </c>
      <c r="W23" s="66" t="str">
        <f t="shared" si="0"/>
        <v/>
      </c>
      <c r="X23" s="66" t="str">
        <f t="shared" si="1"/>
        <v/>
      </c>
      <c r="Y23" s="47">
        <f t="shared" si="2"/>
        <v>0</v>
      </c>
      <c r="Z23" s="46">
        <f t="shared" si="3"/>
        <v>0</v>
      </c>
      <c r="AA23" s="46">
        <f t="shared" si="4"/>
        <v>0</v>
      </c>
      <c r="AB23" s="46">
        <f t="shared" si="5"/>
        <v>0</v>
      </c>
      <c r="AC23" s="46" t="str">
        <f t="shared" si="6"/>
        <v/>
      </c>
      <c r="AG23" s="46">
        <f t="shared" ref="AG23:AP23" si="9">MAX(AG19:AG22)-MIN(AG19:AG22)+1</f>
        <v>1</v>
      </c>
      <c r="AH23" s="46">
        <f t="shared" si="9"/>
        <v>1</v>
      </c>
      <c r="AI23" s="46">
        <f t="shared" si="9"/>
        <v>1</v>
      </c>
      <c r="AJ23" s="46">
        <f t="shared" si="9"/>
        <v>1</v>
      </c>
      <c r="AK23" s="46">
        <f t="shared" si="9"/>
        <v>1</v>
      </c>
      <c r="AL23" s="46">
        <f>MAX(AL19:AL22)-AL24+1</f>
        <v>1</v>
      </c>
      <c r="AM23" s="46">
        <f>MAX(AM19:AM22)-AM24+1</f>
        <v>1</v>
      </c>
      <c r="AO23" s="46">
        <f t="shared" si="9"/>
        <v>1</v>
      </c>
      <c r="AP23" s="46">
        <f t="shared" si="9"/>
        <v>1</v>
      </c>
      <c r="AT23" s="46">
        <f>MAX(AT19:AT22)-MIN(AT19:AT22)+1</f>
        <v>1</v>
      </c>
      <c r="AU23" s="46">
        <f>MAX(AU19:AU22)-MIN(AU19:AU22)+1</f>
        <v>1</v>
      </c>
      <c r="AV23" s="46">
        <f>MAX(AV19:AV22)-MIN(AV19:AV22)+1</f>
        <v>1</v>
      </c>
      <c r="AW23" s="46">
        <f>MAX(AW19:AW22)-MIN(AW19:AW22)+1</f>
        <v>1</v>
      </c>
      <c r="AX23" s="46">
        <f>MAX(AX19:AX22)-MIN(AX19:AX22)+1</f>
        <v>1</v>
      </c>
      <c r="BC23" s="195">
        <v>53</v>
      </c>
      <c r="BD23" s="92" t="str">
        <f>AS37</f>
        <v>1E</v>
      </c>
      <c r="BE23" s="93"/>
      <c r="BF23" s="94"/>
      <c r="BG23" s="95"/>
      <c r="BH23" s="85"/>
      <c r="BI23" s="85"/>
      <c r="BJ23" s="85"/>
      <c r="BK23" s="85"/>
      <c r="BL23" s="85"/>
      <c r="BM23" s="85"/>
      <c r="BN23" s="85"/>
      <c r="BO23" s="97"/>
      <c r="BP23" s="85"/>
      <c r="BQ23" s="85"/>
      <c r="BR23" s="85"/>
      <c r="BS23" s="85"/>
      <c r="BT23" s="85"/>
      <c r="BU23" s="85"/>
      <c r="BV23" s="97"/>
      <c r="BW23" s="85"/>
      <c r="BX23" s="85"/>
      <c r="BY23" s="85"/>
      <c r="BZ23" s="85"/>
      <c r="CA23" s="85"/>
      <c r="CB23" s="85"/>
    </row>
    <row r="24" spans="1:80" ht="15" customHeight="1" x14ac:dyDescent="0.45">
      <c r="A24" s="32" t="str">
        <f>IF('Your Details'!$D$11="","",'Your Details'!$D$11)</f>
        <v/>
      </c>
      <c r="B24" s="32" t="str">
        <f>IF('Your Details'!$D$13="","",'Your Details'!$D$13)</f>
        <v/>
      </c>
      <c r="C24" s="32" t="str">
        <f>IF('Your Details'!$D$14="","",'Your Details'!$D$14)</f>
        <v/>
      </c>
      <c r="D24" s="77">
        <v>13</v>
      </c>
      <c r="E24" s="78" t="s">
        <v>19</v>
      </c>
      <c r="F24" s="79">
        <v>44889</v>
      </c>
      <c r="G24" s="80">
        <v>0.54166666666666663</v>
      </c>
      <c r="H24" s="81" t="s">
        <v>61</v>
      </c>
      <c r="I24" s="82"/>
      <c r="J24" s="82"/>
      <c r="K24" s="83" t="s">
        <v>62</v>
      </c>
      <c r="L24" s="76" t="str">
        <f t="shared" si="7"/>
        <v/>
      </c>
      <c r="V24" s="46" t="e">
        <f>DATE(2022,11,23)+TIME(23,0,0)+gmt_delta</f>
        <v>#N/A</v>
      </c>
      <c r="W24" s="66" t="str">
        <f t="shared" si="0"/>
        <v/>
      </c>
      <c r="X24" s="66" t="str">
        <f t="shared" si="1"/>
        <v/>
      </c>
      <c r="Y24" s="47">
        <f t="shared" si="2"/>
        <v>0</v>
      </c>
      <c r="Z24" s="46">
        <f t="shared" si="3"/>
        <v>0</v>
      </c>
      <c r="AA24" s="46">
        <f t="shared" si="4"/>
        <v>0</v>
      </c>
      <c r="AB24" s="46">
        <f t="shared" si="5"/>
        <v>0</v>
      </c>
      <c r="AC24" s="46" t="str">
        <f t="shared" si="6"/>
        <v/>
      </c>
      <c r="AL24" s="46">
        <f>MIN(AL19:AL22)</f>
        <v>0</v>
      </c>
      <c r="AM24" s="46">
        <f>MIN(AM19:AM22)</f>
        <v>0</v>
      </c>
      <c r="BC24" s="195"/>
      <c r="BD24" s="92" t="str">
        <f>AS44</f>
        <v>2F</v>
      </c>
      <c r="BE24" s="93"/>
      <c r="BF24" s="94"/>
      <c r="BG24" s="95"/>
      <c r="BH24" s="96"/>
      <c r="BI24" s="85"/>
      <c r="BJ24" s="89" t="s">
        <v>186</v>
      </c>
      <c r="BK24" s="85"/>
      <c r="BL24" s="85"/>
      <c r="BM24" s="85"/>
      <c r="BN24" s="98"/>
      <c r="BO24" s="97"/>
      <c r="BP24" s="85"/>
      <c r="BQ24" s="85"/>
      <c r="BR24" s="85"/>
      <c r="BS24" s="85"/>
      <c r="BT24" s="85"/>
      <c r="BU24" s="85"/>
      <c r="BV24" s="97"/>
      <c r="BW24" s="85"/>
      <c r="BX24" s="85"/>
      <c r="BY24" s="85"/>
      <c r="BZ24" s="85"/>
      <c r="CA24" s="85"/>
      <c r="CB24" s="85"/>
    </row>
    <row r="25" spans="1:80" ht="15" customHeight="1" x14ac:dyDescent="0.45">
      <c r="A25" s="32" t="str">
        <f>IF('Your Details'!$D$11="","",'Your Details'!$D$11)</f>
        <v/>
      </c>
      <c r="B25" s="32" t="str">
        <f>IF('Your Details'!$D$13="","",'Your Details'!$D$13)</f>
        <v/>
      </c>
      <c r="C25" s="32" t="str">
        <f>IF('Your Details'!$D$14="","",'Your Details'!$D$14)</f>
        <v/>
      </c>
      <c r="D25" s="77">
        <v>14</v>
      </c>
      <c r="E25" s="78" t="s">
        <v>19</v>
      </c>
      <c r="F25" s="79">
        <v>44889</v>
      </c>
      <c r="G25" s="80">
        <v>0.66666666666666663</v>
      </c>
      <c r="H25" s="81" t="s">
        <v>65</v>
      </c>
      <c r="I25" s="82"/>
      <c r="J25" s="82"/>
      <c r="K25" s="83" t="s">
        <v>66</v>
      </c>
      <c r="L25" s="76" t="str">
        <f t="shared" si="7"/>
        <v/>
      </c>
      <c r="N25" s="84" t="s">
        <v>187</v>
      </c>
      <c r="O25" s="84" t="s">
        <v>9</v>
      </c>
      <c r="P25" s="84" t="s">
        <v>10</v>
      </c>
      <c r="Q25" s="84" t="s">
        <v>169</v>
      </c>
      <c r="R25" s="84" t="s">
        <v>12</v>
      </c>
      <c r="S25" s="84" t="s">
        <v>13</v>
      </c>
      <c r="T25" s="84" t="s">
        <v>177</v>
      </c>
      <c r="V25" s="46" t="e">
        <f>DATE(2022,11,24)+TIME(2,0,0)+gmt_delta</f>
        <v>#N/A</v>
      </c>
      <c r="W25" s="66" t="str">
        <f t="shared" si="0"/>
        <v/>
      </c>
      <c r="X25" s="66" t="str">
        <f t="shared" si="1"/>
        <v/>
      </c>
      <c r="Y25" s="47">
        <f t="shared" si="2"/>
        <v>0</v>
      </c>
      <c r="Z25" s="46">
        <f t="shared" si="3"/>
        <v>0</v>
      </c>
      <c r="AA25" s="46">
        <f t="shared" si="4"/>
        <v>0</v>
      </c>
      <c r="AB25" s="46">
        <f t="shared" si="5"/>
        <v>0</v>
      </c>
      <c r="AC25" s="46" t="str">
        <f t="shared" si="6"/>
        <v/>
      </c>
      <c r="AE25" s="46">
        <f>COUNTIF(AR25:AR28,CONCATENATE("&gt;=",AR25))</f>
        <v>1</v>
      </c>
      <c r="AF25" s="47" t="str">
        <f>VLOOKUP("Argentina",T,lang,FALSE)</f>
        <v>Argentina</v>
      </c>
      <c r="AG25" s="46">
        <f>COUNTIF($W$12:$X$59,"=" &amp; AF25 &amp; "_win")</f>
        <v>0</v>
      </c>
      <c r="AH25" s="46">
        <f>COUNTIF($W$12:$X$59,"=" &amp; AF25 &amp; "_draw")</f>
        <v>0</v>
      </c>
      <c r="AI25" s="46">
        <f>COUNTIF($W$12:$X$59,"=" &amp; AF25 &amp; "_lose")</f>
        <v>0</v>
      </c>
      <c r="AJ25" s="46">
        <f>SUMIF($H$12:$H$59,$AF25,$I$12:$I$59) + SUMIF($K$12:$K$59,$AF25,$J$12:$J$59)</f>
        <v>0</v>
      </c>
      <c r="AK25" s="46">
        <f>SUMIF($H$12:$H$59,$AF25,$J$12:$J$59) + SUMIF($K$12:$K$59,$AF25,$I$12:$I$59)</f>
        <v>0</v>
      </c>
      <c r="AL25" s="46">
        <f>(AJ25-AK25)*100+AO25*10000+AJ25</f>
        <v>0</v>
      </c>
      <c r="AM25" s="46">
        <f>AJ25-AK25</f>
        <v>0</v>
      </c>
      <c r="AN25" s="46">
        <f>(AM25-AM30)/AM29</f>
        <v>0</v>
      </c>
      <c r="AO25" s="46">
        <f>AG25*3+AH25</f>
        <v>0</v>
      </c>
      <c r="AP25" s="46">
        <f>AT25/AT29*1000+AU25/AU29*100+AX25/AX29*10+AV25/AV29</f>
        <v>0</v>
      </c>
      <c r="AQ25" s="46">
        <f>VLOOKUP(AF25,db_fifarank,2,FALSE)/2000000</f>
        <v>8.8250000000000004E-4</v>
      </c>
      <c r="AR25" s="47">
        <f>1000*AO25/AO29+100*AN25+10*AJ25/AJ29+1*AP25/AP29+AQ25</f>
        <v>8.8250000000000004E-4</v>
      </c>
      <c r="AS25" s="47" t="str">
        <f>IF(SUM(AG25:AI28)=12,N26,INDEX(T,74,lang))</f>
        <v>1C</v>
      </c>
      <c r="AT25" s="46">
        <f>SUMPRODUCT(($W$12:$W$59=AF25&amp;"_win")*($Y$12:$Y$59))+SUMPRODUCT(($X$12:$X$59=AF25&amp;"_win")*($Y$12:$Y$59))</f>
        <v>0</v>
      </c>
      <c r="AU25" s="46">
        <f>SUMPRODUCT(($W$12:$W$59=AF25&amp;"_draw")*($Y$12:$Y$59))+SUMPRODUCT(($X$12:$X$59=AF25&amp;"_draw")*($Y$12:$Y$59))</f>
        <v>0</v>
      </c>
      <c r="AV25" s="46">
        <f>SUMPRODUCT(($H$12:$H$59=AF25)*($Y$12:$Y$59)*($I$12:$I$59))+SUMPRODUCT(($K$12:$K$59=AF25)*($Y$12:$Y$59)*($J$12:$J$59))</f>
        <v>0</v>
      </c>
      <c r="AW25" s="46">
        <f>SUMPRODUCT(($H$12:$H$59=AF25)*($Y$12:$Y$59)*($J$12:$J$59))+SUMPRODUCT(($K$12:$K$59=AF25)*($Y$12:$Y$59)*($I$12:$I$59))</f>
        <v>0</v>
      </c>
      <c r="AX25" s="46">
        <f>AV25-AW25</f>
        <v>0</v>
      </c>
      <c r="BC25" s="85"/>
      <c r="BD25" s="85"/>
      <c r="BE25" s="85"/>
      <c r="BF25" s="85"/>
      <c r="BG25" s="85"/>
      <c r="BH25" s="97"/>
      <c r="BI25" s="85"/>
      <c r="BJ25" s="195">
        <v>58</v>
      </c>
      <c r="BK25" s="92" t="str">
        <f>X67</f>
        <v>W53</v>
      </c>
      <c r="BL25" s="93"/>
      <c r="BM25" s="94"/>
      <c r="BN25" s="95"/>
      <c r="BO25" s="100"/>
      <c r="BP25" s="85"/>
      <c r="BQ25" s="85"/>
      <c r="BR25" s="85"/>
      <c r="BS25" s="85"/>
      <c r="BT25" s="85"/>
      <c r="BU25" s="85"/>
      <c r="BV25" s="97"/>
      <c r="BW25" s="85"/>
      <c r="BX25" s="85"/>
      <c r="BY25" s="85"/>
      <c r="BZ25" s="85"/>
      <c r="CA25" s="85"/>
      <c r="CB25" s="85"/>
    </row>
    <row r="26" spans="1:80" ht="15" customHeight="1" x14ac:dyDescent="0.45">
      <c r="A26" s="32" t="str">
        <f>IF('Your Details'!$D$11="","",'Your Details'!$D$11)</f>
        <v/>
      </c>
      <c r="B26" s="32" t="str">
        <f>IF('Your Details'!$D$13="","",'Your Details'!$D$13)</f>
        <v/>
      </c>
      <c r="C26" s="32" t="str">
        <f>IF('Your Details'!$D$14="","",'Your Details'!$D$14)</f>
        <v/>
      </c>
      <c r="D26" s="77">
        <v>15</v>
      </c>
      <c r="E26" s="78" t="s">
        <v>19</v>
      </c>
      <c r="F26" s="79">
        <v>44889</v>
      </c>
      <c r="G26" s="80">
        <v>0.79166666666666663</v>
      </c>
      <c r="H26" s="81" t="s">
        <v>63</v>
      </c>
      <c r="I26" s="82"/>
      <c r="J26" s="82"/>
      <c r="K26" s="83" t="s">
        <v>64</v>
      </c>
      <c r="L26" s="76" t="str">
        <f t="shared" si="7"/>
        <v/>
      </c>
      <c r="N26" s="87" t="str">
        <f>VLOOKUP(1,AE25:AO28,2,FALSE)</f>
        <v>Argentina</v>
      </c>
      <c r="O26" s="88">
        <f>P26+Q26+R26</f>
        <v>0</v>
      </c>
      <c r="P26" s="88">
        <f>VLOOKUP(1,AE25:AO28,3,FALSE)</f>
        <v>0</v>
      </c>
      <c r="Q26" s="88">
        <f>VLOOKUP(1,AE25:AO28,4,FALSE)</f>
        <v>0</v>
      </c>
      <c r="R26" s="88">
        <f>VLOOKUP(1,AE25:AO28,5,FALSE)</f>
        <v>0</v>
      </c>
      <c r="S26" s="88" t="str">
        <f>VLOOKUP(1,AE25:AO28,6,FALSE) &amp; " - " &amp; VLOOKUP(1,AE25:AO28,7,FALSE)</f>
        <v>0 - 0</v>
      </c>
      <c r="T26" s="88">
        <f>P26*3+Q26</f>
        <v>0</v>
      </c>
      <c r="V26" s="46" t="e">
        <f>DATE(2022,11,24)+TIME(5,0,0)+gmt_delta</f>
        <v>#N/A</v>
      </c>
      <c r="W26" s="66" t="str">
        <f t="shared" si="0"/>
        <v/>
      </c>
      <c r="X26" s="66" t="str">
        <f t="shared" si="1"/>
        <v/>
      </c>
      <c r="Y26" s="47">
        <f t="shared" si="2"/>
        <v>0</v>
      </c>
      <c r="Z26" s="46">
        <f t="shared" si="3"/>
        <v>0</v>
      </c>
      <c r="AA26" s="46">
        <f t="shared" si="4"/>
        <v>0</v>
      </c>
      <c r="AB26" s="46">
        <f t="shared" si="5"/>
        <v>0</v>
      </c>
      <c r="AC26" s="46" t="str">
        <f t="shared" si="6"/>
        <v/>
      </c>
      <c r="AE26" s="46">
        <f>COUNTIF(AR25:AR28,CONCATENATE("&gt;=",AR26))</f>
        <v>4</v>
      </c>
      <c r="AF26" s="47" t="str">
        <f>VLOOKUP("Saudi Arabia",T,lang,FALSE)</f>
        <v>Saudi Arabia</v>
      </c>
      <c r="AG26" s="46">
        <f>COUNTIF($W$12:$X$59,"=" &amp; AF26 &amp; "_win")</f>
        <v>0</v>
      </c>
      <c r="AH26" s="46">
        <f>COUNTIF($W$12:$X$59,"=" &amp; AF26 &amp; "_draw")</f>
        <v>0</v>
      </c>
      <c r="AI26" s="46">
        <f>COUNTIF($W$12:$X$59,"=" &amp; AF26 &amp; "_lose")</f>
        <v>0</v>
      </c>
      <c r="AJ26" s="46">
        <f>SUMIF($H$12:$H$59,$AF26,$I$12:$I$59) + SUMIF($K$12:$K$59,$AF26,$J$12:$J$59)</f>
        <v>0</v>
      </c>
      <c r="AK26" s="46">
        <f>SUMIF($H$12:$H$59,$AF26,$J$12:$J$59) + SUMIF($K$12:$K$59,$AF26,$I$12:$I$59)</f>
        <v>0</v>
      </c>
      <c r="AL26" s="46">
        <f>(AJ26-AK26)*100+AO26*10000+AJ26</f>
        <v>0</v>
      </c>
      <c r="AM26" s="46">
        <f>AJ26-AK26</f>
        <v>0</v>
      </c>
      <c r="AN26" s="46">
        <f>(AM26-AM30)/AM29</f>
        <v>0</v>
      </c>
      <c r="AO26" s="46">
        <f>AG26*3+AH26</f>
        <v>0</v>
      </c>
      <c r="AP26" s="46">
        <f>AT26/AT29*1000+AU26/AU29*100+AX26/AX29*10+AV26/AV29</f>
        <v>0</v>
      </c>
      <c r="AQ26" s="46">
        <f>VLOOKUP(AF26,db_fifarank,2,FALSE)/2000000</f>
        <v>7.2250000000000005E-4</v>
      </c>
      <c r="AR26" s="47">
        <f>1000*AO26/AO29+100*AN26+10*AJ26/AJ29+1*AP26/AP29+AQ26</f>
        <v>7.2250000000000005E-4</v>
      </c>
      <c r="AS26" s="47" t="str">
        <f>IF(SUM(AG25:AI28)=12,N27,INDEX(T,75,lang))</f>
        <v>2C</v>
      </c>
      <c r="AT26" s="46">
        <f>SUMPRODUCT(($W$12:$W$59=AF26&amp;"_win")*($Y$12:$Y$59))+SUMPRODUCT(($X$12:$X$59=AF26&amp;"_win")*($Y$12:$Y$59))</f>
        <v>0</v>
      </c>
      <c r="AU26" s="46">
        <f>SUMPRODUCT(($W$12:$W$59=AF26&amp;"_draw")*($Y$12:$Y$59))+SUMPRODUCT(($X$12:$X$59=AF26&amp;"_draw")*($Y$12:$Y$59))</f>
        <v>0</v>
      </c>
      <c r="AV26" s="46">
        <f>SUMPRODUCT(($H$12:$H$59=AF26)*($Y$12:$Y$59)*($I$12:$I$59))+SUMPRODUCT(($K$12:$K$59=AF26)*($Y$12:$Y$59)*($J$12:$J$59))</f>
        <v>0</v>
      </c>
      <c r="AW26" s="46">
        <f>SUMPRODUCT(($H$12:$H$59=AF26)*($Y$12:$Y$59)*($J$12:$J$59))+SUMPRODUCT(($K$12:$K$59=AF26)*($Y$12:$Y$59)*($I$12:$I$59))</f>
        <v>0</v>
      </c>
      <c r="AX26" s="46">
        <f>AV26-AW26</f>
        <v>0</v>
      </c>
      <c r="BC26" s="89" t="s">
        <v>188</v>
      </c>
      <c r="BD26" s="89"/>
      <c r="BE26" s="85"/>
      <c r="BF26" s="85"/>
      <c r="BG26" s="98"/>
      <c r="BH26" s="97"/>
      <c r="BI26" s="99"/>
      <c r="BJ26" s="195"/>
      <c r="BK26" s="92" t="str">
        <f>X68</f>
        <v>W54</v>
      </c>
      <c r="BL26" s="93"/>
      <c r="BM26" s="94"/>
      <c r="BN26" s="95"/>
      <c r="BO26" s="85"/>
      <c r="BP26" s="85"/>
      <c r="BQ26" s="85"/>
      <c r="BR26" s="85"/>
      <c r="BS26" s="85"/>
      <c r="BT26" s="85"/>
      <c r="BU26" s="85"/>
      <c r="BV26" s="97"/>
      <c r="BW26" s="85"/>
      <c r="BX26" s="85"/>
      <c r="BY26" s="85"/>
      <c r="BZ26" s="85"/>
      <c r="CA26" s="85"/>
      <c r="CB26" s="85"/>
    </row>
    <row r="27" spans="1:80" ht="15" customHeight="1" x14ac:dyDescent="0.45">
      <c r="A27" s="32" t="str">
        <f>IF('Your Details'!$D$11="","",'Your Details'!$D$11)</f>
        <v/>
      </c>
      <c r="B27" s="32" t="str">
        <f>IF('Your Details'!$D$13="","",'Your Details'!$D$13)</f>
        <v/>
      </c>
      <c r="C27" s="32" t="str">
        <f>IF('Your Details'!$D$14="","",'Your Details'!$D$14)</f>
        <v/>
      </c>
      <c r="D27" s="77">
        <v>16</v>
      </c>
      <c r="E27" s="78" t="s">
        <v>19</v>
      </c>
      <c r="F27" s="79">
        <v>44889</v>
      </c>
      <c r="G27" s="80">
        <v>0.91666666666666663</v>
      </c>
      <c r="H27" s="81" t="s">
        <v>59</v>
      </c>
      <c r="I27" s="82"/>
      <c r="J27" s="82"/>
      <c r="K27" s="83" t="s">
        <v>60</v>
      </c>
      <c r="L27" s="76" t="str">
        <f t="shared" si="7"/>
        <v/>
      </c>
      <c r="N27" s="87" t="str">
        <f>VLOOKUP(2,AE25:AO28,2,FALSE)</f>
        <v>Mexico</v>
      </c>
      <c r="O27" s="88">
        <f>P27+Q27+R27</f>
        <v>0</v>
      </c>
      <c r="P27" s="88">
        <f>VLOOKUP(2,AE25:AO28,3,FALSE)</f>
        <v>0</v>
      </c>
      <c r="Q27" s="88">
        <f>VLOOKUP(2,AE25:AO28,4,FALSE)</f>
        <v>0</v>
      </c>
      <c r="R27" s="88">
        <f>VLOOKUP(2,AE25:AO28,5,FALSE)</f>
        <v>0</v>
      </c>
      <c r="S27" s="88" t="str">
        <f>VLOOKUP(2,AE25:AO28,6,FALSE) &amp; " - " &amp; VLOOKUP(2,AE25:AO28,7,FALSE)</f>
        <v>0 - 0</v>
      </c>
      <c r="T27" s="88">
        <f>P27*3+Q27</f>
        <v>0</v>
      </c>
      <c r="V27" s="46" t="e">
        <f>DATE(2022,11,24)+TIME(8,0,0)+gmt_delta</f>
        <v>#N/A</v>
      </c>
      <c r="W27" s="66" t="str">
        <f t="shared" si="0"/>
        <v/>
      </c>
      <c r="X27" s="66" t="str">
        <f t="shared" si="1"/>
        <v/>
      </c>
      <c r="Y27" s="47">
        <f t="shared" si="2"/>
        <v>0</v>
      </c>
      <c r="Z27" s="46">
        <f t="shared" si="3"/>
        <v>0</v>
      </c>
      <c r="AA27" s="46">
        <f t="shared" si="4"/>
        <v>0</v>
      </c>
      <c r="AB27" s="46">
        <f t="shared" si="5"/>
        <v>0</v>
      </c>
      <c r="AC27" s="46" t="str">
        <f t="shared" si="6"/>
        <v/>
      </c>
      <c r="AE27" s="46">
        <f>COUNTIF(AR25:AR28,CONCATENATE("&gt;=",AR27))</f>
        <v>2</v>
      </c>
      <c r="AF27" s="47" t="str">
        <f>VLOOKUP("Mexico",T,lang,FALSE)</f>
        <v>Mexico</v>
      </c>
      <c r="AG27" s="46">
        <f>COUNTIF($W$12:$X$59,"=" &amp; AF27 &amp; "_win")</f>
        <v>0</v>
      </c>
      <c r="AH27" s="46">
        <f>COUNTIF($W$12:$X$59,"=" &amp; AF27 &amp; "_draw")</f>
        <v>0</v>
      </c>
      <c r="AI27" s="46">
        <f>COUNTIF($W$12:$X$59,"=" &amp; AF27 &amp; "_lose")</f>
        <v>0</v>
      </c>
      <c r="AJ27" s="46">
        <f>SUMIF($H$12:$H$59,$AF27,$I$12:$I$59) + SUMIF($K$12:$K$59,$AF27,$J$12:$J$59)</f>
        <v>0</v>
      </c>
      <c r="AK27" s="46">
        <f>SUMIF($H$12:$H$59,$AF27,$J$12:$J$59) + SUMIF($K$12:$K$59,$AF27,$I$12:$I$59)</f>
        <v>0</v>
      </c>
      <c r="AL27" s="46">
        <f>(AJ27-AK27)*100+AO27*10000+AJ27</f>
        <v>0</v>
      </c>
      <c r="AM27" s="46">
        <f>AJ27-AK27</f>
        <v>0</v>
      </c>
      <c r="AN27" s="46">
        <f>(AM27-AM30)/AM29</f>
        <v>0</v>
      </c>
      <c r="AO27" s="46">
        <f>AG27*3+AH27</f>
        <v>0</v>
      </c>
      <c r="AP27" s="46">
        <f>AT27/AT29*1000+AU27/AU29*100+AX27/AX29*10+AV27/AV29</f>
        <v>0</v>
      </c>
      <c r="AQ27" s="46">
        <f>VLOOKUP(AF27,db_fifarank,2,FALSE)/2000000</f>
        <v>8.2940999999999993E-4</v>
      </c>
      <c r="AR27" s="47">
        <f>1000*AO27/AO29+100*AN27+10*AJ27/AJ29+1*AP27/AP29+AQ27</f>
        <v>8.2940999999999993E-4</v>
      </c>
      <c r="AT27" s="46">
        <f>SUMPRODUCT(($W$12:$W$59=AF27&amp;"_win")*($Y$12:$Y$59))+SUMPRODUCT(($X$12:$X$59=AF27&amp;"_win")*($Y$12:$Y$59))</f>
        <v>0</v>
      </c>
      <c r="AU27" s="46">
        <f>SUMPRODUCT(($W$12:$W$59=AF27&amp;"_draw")*($Y$12:$Y$59))+SUMPRODUCT(($X$12:$X$59=AF27&amp;"_draw")*($Y$12:$Y$59))</f>
        <v>0</v>
      </c>
      <c r="AV27" s="46">
        <f>SUMPRODUCT(($H$12:$H$59=AF27)*($Y$12:$Y$59)*($I$12:$I$59))+SUMPRODUCT(($K$12:$K$59=AF27)*($Y$12:$Y$59)*($J$12:$J$59))</f>
        <v>0</v>
      </c>
      <c r="AW27" s="46">
        <f>SUMPRODUCT(($H$12:$H$59=AF27)*($Y$12:$Y$59)*($J$12:$J$59))+SUMPRODUCT(($K$12:$K$59=AF27)*($Y$12:$Y$59)*($I$12:$I$59))</f>
        <v>0</v>
      </c>
      <c r="AX27" s="46">
        <f>AV27-AW27</f>
        <v>0</v>
      </c>
      <c r="BC27" s="195">
        <v>54</v>
      </c>
      <c r="BD27" s="92" t="str">
        <f>AS49</f>
        <v>1G</v>
      </c>
      <c r="BE27" s="93"/>
      <c r="BF27" s="94"/>
      <c r="BG27" s="95"/>
      <c r="BH27" s="100"/>
      <c r="BI27" s="85"/>
      <c r="BJ27" s="85"/>
      <c r="BK27" s="85"/>
      <c r="BL27" s="85"/>
      <c r="BM27" s="85"/>
      <c r="BN27" s="85"/>
      <c r="BO27" s="85"/>
      <c r="BP27" s="85"/>
      <c r="BQ27" s="85"/>
      <c r="BR27" s="85"/>
      <c r="BS27" s="85"/>
      <c r="BT27" s="85"/>
      <c r="BU27" s="85"/>
      <c r="BV27" s="97"/>
      <c r="BW27" s="85"/>
      <c r="BX27" s="89" t="s">
        <v>189</v>
      </c>
      <c r="BY27" s="85"/>
      <c r="BZ27" s="90" t="s">
        <v>179</v>
      </c>
      <c r="CA27" s="90" t="s">
        <v>236</v>
      </c>
      <c r="CB27" s="91" t="s">
        <v>180</v>
      </c>
    </row>
    <row r="28" spans="1:80" ht="15" customHeight="1" x14ac:dyDescent="0.45">
      <c r="A28" s="32" t="str">
        <f>IF('Your Details'!$D$11="","",'Your Details'!$D$11)</f>
        <v/>
      </c>
      <c r="B28" s="32" t="str">
        <f>IF('Your Details'!$D$13="","",'Your Details'!$D$13)</f>
        <v/>
      </c>
      <c r="C28" s="32" t="str">
        <f>IF('Your Details'!$D$14="","",'Your Details'!$D$14)</f>
        <v/>
      </c>
      <c r="D28" s="77">
        <v>17</v>
      </c>
      <c r="E28" s="78" t="s">
        <v>20</v>
      </c>
      <c r="F28" s="79">
        <v>44890</v>
      </c>
      <c r="G28" s="80">
        <v>0.54166666666666663</v>
      </c>
      <c r="H28" s="81" t="s">
        <v>42</v>
      </c>
      <c r="I28" s="82"/>
      <c r="J28" s="82"/>
      <c r="K28" s="83" t="s">
        <v>40</v>
      </c>
      <c r="L28" s="76" t="str">
        <f t="shared" si="7"/>
        <v/>
      </c>
      <c r="N28" s="87" t="str">
        <f>VLOOKUP(3,AE25:AO28,2,FALSE)</f>
        <v>Poland</v>
      </c>
      <c r="O28" s="88">
        <f>P28+Q28+R28</f>
        <v>0</v>
      </c>
      <c r="P28" s="88">
        <f>VLOOKUP(3,AE25:AO28,3,FALSE)</f>
        <v>0</v>
      </c>
      <c r="Q28" s="88">
        <f>VLOOKUP(3,AE25:AO28,4,FALSE)</f>
        <v>0</v>
      </c>
      <c r="R28" s="88">
        <f>VLOOKUP(3,AE25:AO28,5,FALSE)</f>
        <v>0</v>
      </c>
      <c r="S28" s="88" t="str">
        <f>VLOOKUP(3,AE25:AO28,6,FALSE) &amp; " - " &amp; VLOOKUP(3,AE25:AO28,7,FALSE)</f>
        <v>0 - 0</v>
      </c>
      <c r="T28" s="88">
        <f>P28*3+Q28</f>
        <v>0</v>
      </c>
      <c r="V28" s="46" t="e">
        <f>DATE(2022,11,24)+TIME(23,0,0)+gmt_delta</f>
        <v>#N/A</v>
      </c>
      <c r="W28" s="66" t="str">
        <f t="shared" si="0"/>
        <v/>
      </c>
      <c r="X28" s="66" t="str">
        <f t="shared" si="1"/>
        <v/>
      </c>
      <c r="Y28" s="47">
        <f t="shared" si="2"/>
        <v>0</v>
      </c>
      <c r="Z28" s="46">
        <f t="shared" si="3"/>
        <v>0</v>
      </c>
      <c r="AA28" s="46">
        <f t="shared" si="4"/>
        <v>0</v>
      </c>
      <c r="AB28" s="46">
        <f t="shared" si="5"/>
        <v>0</v>
      </c>
      <c r="AC28" s="46" t="str">
        <f t="shared" si="6"/>
        <v/>
      </c>
      <c r="AE28" s="46">
        <f>COUNTIF(AR25:AR28,CONCATENATE("&gt;=",AR28))</f>
        <v>3</v>
      </c>
      <c r="AF28" s="47" t="str">
        <f>VLOOKUP("Poland",T,lang,FALSE)</f>
        <v>Poland</v>
      </c>
      <c r="AG28" s="46">
        <f>COUNTIF($W$12:$X$59,"=" &amp; AF28 &amp; "_win")</f>
        <v>0</v>
      </c>
      <c r="AH28" s="46">
        <f>COUNTIF($W$12:$X$59,"=" &amp; AF28 &amp; "_draw")</f>
        <v>0</v>
      </c>
      <c r="AI28" s="46">
        <f>COUNTIF($W$12:$X$59,"=" &amp; AF28 &amp; "_lose")</f>
        <v>0</v>
      </c>
      <c r="AJ28" s="46">
        <f>SUMIF($H$12:$H$59,$AF28,$I$12:$I$59) + SUMIF($K$12:$K$59,$AF28,$J$12:$J$59)</f>
        <v>0</v>
      </c>
      <c r="AK28" s="46">
        <f>SUMIF($H$12:$H$59,$AF28,$J$12:$J$59) + SUMIF($K$12:$K$59,$AF28,$I$12:$I$59)</f>
        <v>0</v>
      </c>
      <c r="AL28" s="46">
        <f>(AJ28-AK28)*100+AO28*10000+AJ28</f>
        <v>0</v>
      </c>
      <c r="AM28" s="46">
        <f>AJ28-AK28</f>
        <v>0</v>
      </c>
      <c r="AN28" s="46">
        <f>(AM28-AM30)/AM29</f>
        <v>0</v>
      </c>
      <c r="AO28" s="46">
        <f>AG28*3+AH28</f>
        <v>0</v>
      </c>
      <c r="AP28" s="46">
        <f>AT28/AT29*1000+AU28/AU29*100+AX28/AX29*10+AV28/AV29</f>
        <v>0</v>
      </c>
      <c r="AQ28" s="46">
        <f>VLOOKUP(AF28,db_fifarank,2,FALSE)/2000000</f>
        <v>7.7200000000000001E-4</v>
      </c>
      <c r="AR28" s="47">
        <f>1000*AO28/AO29+100*AN28+10*AJ28/AJ29+1*AP28/AP29+AQ28</f>
        <v>7.7200000000000001E-4</v>
      </c>
      <c r="AT28" s="46">
        <f>SUMPRODUCT(($W$12:$W$59=AF28&amp;"_win")*($Y$12:$Y$59))+SUMPRODUCT(($X$12:$X$59=AF28&amp;"_win")*($Y$12:$Y$59))</f>
        <v>0</v>
      </c>
      <c r="AU28" s="46">
        <f>SUMPRODUCT(($W$12:$W$59=AF28&amp;"_draw")*($Y$12:$Y$59))+SUMPRODUCT(($X$12:$X$59=AF28&amp;"_draw")*($Y$12:$Y$59))</f>
        <v>0</v>
      </c>
      <c r="AV28" s="46">
        <f>SUMPRODUCT(($H$12:$H$59=AF28)*($Y$12:$Y$59)*($I$12:$I$59))+SUMPRODUCT(($K$12:$K$59=AF28)*($Y$12:$Y$59)*($J$12:$J$59))</f>
        <v>0</v>
      </c>
      <c r="AW28" s="46">
        <f>SUMPRODUCT(($H$12:$H$59=AF28)*($Y$12:$Y$59)*($J$12:$J$59))+SUMPRODUCT(($K$12:$K$59=AF28)*($Y$12:$Y$59)*($I$12:$I$59))</f>
        <v>0</v>
      </c>
      <c r="AX28" s="46">
        <f>AV28-AW28</f>
        <v>0</v>
      </c>
      <c r="BC28" s="195"/>
      <c r="BD28" s="92" t="str">
        <f>AS56</f>
        <v>2H</v>
      </c>
      <c r="BE28" s="93"/>
      <c r="BF28" s="94"/>
      <c r="BG28" s="95"/>
      <c r="BH28" s="85"/>
      <c r="BI28" s="85"/>
      <c r="BJ28" s="85"/>
      <c r="BK28" s="85"/>
      <c r="BL28" s="85"/>
      <c r="BM28" s="85"/>
      <c r="BN28" s="85"/>
      <c r="BO28" s="85"/>
      <c r="BP28" s="85"/>
      <c r="BQ28" s="85"/>
      <c r="BR28" s="85"/>
      <c r="BS28" s="85"/>
      <c r="BT28" s="85"/>
      <c r="BU28" s="85"/>
      <c r="BV28" s="97"/>
      <c r="BW28" s="85"/>
      <c r="BX28" s="195">
        <v>64</v>
      </c>
      <c r="BY28" s="92" t="str">
        <f>X81</f>
        <v>W61</v>
      </c>
      <c r="BZ28" s="93"/>
      <c r="CA28" s="94"/>
      <c r="CB28" s="95"/>
    </row>
    <row r="29" spans="1:80" ht="15" customHeight="1" x14ac:dyDescent="0.45">
      <c r="A29" s="32" t="str">
        <f>IF('Your Details'!$D$11="","",'Your Details'!$D$11)</f>
        <v/>
      </c>
      <c r="B29" s="32" t="str">
        <f>IF('Your Details'!$D$13="","",'Your Details'!$D$13)</f>
        <v/>
      </c>
      <c r="C29" s="32" t="str">
        <f>IF('Your Details'!$D$14="","",'Your Details'!$D$14)</f>
        <v/>
      </c>
      <c r="D29" s="77">
        <v>18</v>
      </c>
      <c r="E29" s="78" t="s">
        <v>20</v>
      </c>
      <c r="F29" s="79">
        <v>44890</v>
      </c>
      <c r="G29" s="80">
        <v>0.66666666666666663</v>
      </c>
      <c r="H29" s="81" t="s">
        <v>36</v>
      </c>
      <c r="I29" s="82"/>
      <c r="J29" s="82"/>
      <c r="K29" s="83" t="s">
        <v>35</v>
      </c>
      <c r="L29" s="76" t="str">
        <f t="shared" si="7"/>
        <v/>
      </c>
      <c r="N29" s="87" t="str">
        <f>VLOOKUP(4,AE25:AO28,2,FALSE)</f>
        <v>Saudi Arabia</v>
      </c>
      <c r="O29" s="88">
        <f>P29+Q29+R29</f>
        <v>0</v>
      </c>
      <c r="P29" s="88">
        <f>VLOOKUP(4,AE25:AO28,3,FALSE)</f>
        <v>0</v>
      </c>
      <c r="Q29" s="88">
        <f>VLOOKUP(4,AE25:AO28,4,FALSE)</f>
        <v>0</v>
      </c>
      <c r="R29" s="88">
        <f>VLOOKUP(4,AE25:AO28,5,FALSE)</f>
        <v>0</v>
      </c>
      <c r="S29" s="88" t="str">
        <f>VLOOKUP(4,AE25:AO28,6,FALSE) &amp; " - " &amp; VLOOKUP(4,AE25:AO28,7,FALSE)</f>
        <v>0 - 0</v>
      </c>
      <c r="T29" s="88">
        <f>P29*3+Q29</f>
        <v>0</v>
      </c>
      <c r="V29" s="46" t="e">
        <f>DATE(2022,11,25)+TIME(2,0,0)+gmt_delta</f>
        <v>#N/A</v>
      </c>
      <c r="W29" s="66" t="str">
        <f t="shared" si="0"/>
        <v/>
      </c>
      <c r="X29" s="66" t="str">
        <f t="shared" si="1"/>
        <v/>
      </c>
      <c r="Y29" s="47">
        <f t="shared" si="2"/>
        <v>0</v>
      </c>
      <c r="Z29" s="46">
        <f t="shared" si="3"/>
        <v>0</v>
      </c>
      <c r="AA29" s="46">
        <f t="shared" si="4"/>
        <v>0</v>
      </c>
      <c r="AB29" s="46">
        <f t="shared" si="5"/>
        <v>0</v>
      </c>
      <c r="AC29" s="46" t="str">
        <f t="shared" si="6"/>
        <v/>
      </c>
      <c r="AG29" s="46">
        <f t="shared" ref="AG29:AP29" si="10">MAX(AG25:AG28)-MIN(AG25:AG28)+1</f>
        <v>1</v>
      </c>
      <c r="AH29" s="46">
        <f t="shared" si="10"/>
        <v>1</v>
      </c>
      <c r="AI29" s="46">
        <f t="shared" si="10"/>
        <v>1</v>
      </c>
      <c r="AJ29" s="46">
        <f t="shared" si="10"/>
        <v>1</v>
      </c>
      <c r="AK29" s="46">
        <f t="shared" si="10"/>
        <v>1</v>
      </c>
      <c r="AL29" s="46">
        <f>MAX(AL25:AL28)-AL30+1</f>
        <v>1</v>
      </c>
      <c r="AM29" s="46">
        <f>MAX(AM25:AM28)-AM30+1</f>
        <v>1</v>
      </c>
      <c r="AO29" s="46">
        <f t="shared" si="10"/>
        <v>1</v>
      </c>
      <c r="AP29" s="46">
        <f t="shared" si="10"/>
        <v>1</v>
      </c>
      <c r="AT29" s="46">
        <f>MAX(AT25:AT28)-MIN(AT25:AT28)+1</f>
        <v>1</v>
      </c>
      <c r="AU29" s="46">
        <f>MAX(AU25:AU28)-MIN(AU25:AU28)+1</f>
        <v>1</v>
      </c>
      <c r="AV29" s="46">
        <f>MAX(AV25:AV28)-MIN(AV25:AV28)+1</f>
        <v>1</v>
      </c>
      <c r="AW29" s="46">
        <f>MAX(AW25:AW28)-MIN(AW25:AW28)+1</f>
        <v>1</v>
      </c>
      <c r="AX29" s="46">
        <f>MAX(AX25:AX28)-MIN(AX25:AX28)+1</f>
        <v>1</v>
      </c>
      <c r="BD29" s="85"/>
      <c r="BE29" s="85"/>
      <c r="BF29" s="85"/>
      <c r="BG29" s="85"/>
      <c r="BH29" s="85"/>
      <c r="BI29" s="85"/>
      <c r="BJ29" s="85"/>
      <c r="BK29" s="85"/>
      <c r="BL29" s="85"/>
      <c r="BM29" s="85"/>
      <c r="BN29" s="85"/>
      <c r="BO29" s="85"/>
      <c r="BP29" s="85"/>
      <c r="BQ29" s="85"/>
      <c r="BR29" s="85"/>
      <c r="BS29" s="85"/>
      <c r="BT29" s="85"/>
      <c r="BU29" s="85"/>
      <c r="BV29" s="97"/>
      <c r="BW29" s="99"/>
      <c r="BX29" s="195"/>
      <c r="BY29" s="92" t="str">
        <f>X82</f>
        <v>W62</v>
      </c>
      <c r="BZ29" s="93"/>
      <c r="CA29" s="94"/>
      <c r="CB29" s="95"/>
    </row>
    <row r="30" spans="1:80" ht="15" customHeight="1" x14ac:dyDescent="0.45">
      <c r="A30" s="32" t="str">
        <f>IF('Your Details'!$D$11="","",'Your Details'!$D$11)</f>
        <v/>
      </c>
      <c r="B30" s="32" t="str">
        <f>IF('Your Details'!$D$13="","",'Your Details'!$D$13)</f>
        <v/>
      </c>
      <c r="C30" s="32" t="str">
        <f>IF('Your Details'!$D$14="","",'Your Details'!$D$14)</f>
        <v/>
      </c>
      <c r="D30" s="77">
        <v>19</v>
      </c>
      <c r="E30" s="78" t="s">
        <v>20</v>
      </c>
      <c r="F30" s="79">
        <v>44890</v>
      </c>
      <c r="G30" s="80">
        <v>0.79166666666666663</v>
      </c>
      <c r="H30" s="81" t="s">
        <v>38</v>
      </c>
      <c r="I30" s="82"/>
      <c r="J30" s="82"/>
      <c r="K30" s="83" t="s">
        <v>37</v>
      </c>
      <c r="L30" s="76" t="str">
        <f t="shared" si="7"/>
        <v/>
      </c>
      <c r="V30" s="46" t="e">
        <f>DATE(2022,11,25)+TIME(5,0,0)+gmt_delta</f>
        <v>#N/A</v>
      </c>
      <c r="W30" s="66" t="str">
        <f t="shared" si="0"/>
        <v/>
      </c>
      <c r="X30" s="66" t="str">
        <f t="shared" si="1"/>
        <v/>
      </c>
      <c r="Y30" s="47">
        <f t="shared" si="2"/>
        <v>0</v>
      </c>
      <c r="Z30" s="46">
        <f t="shared" si="3"/>
        <v>0</v>
      </c>
      <c r="AA30" s="46">
        <f t="shared" si="4"/>
        <v>0</v>
      </c>
      <c r="AB30" s="46">
        <f t="shared" si="5"/>
        <v>0</v>
      </c>
      <c r="AC30" s="46" t="str">
        <f t="shared" si="6"/>
        <v/>
      </c>
      <c r="AL30" s="46">
        <f>MIN(AL25:AL28)</f>
        <v>0</v>
      </c>
      <c r="AM30" s="46">
        <f>MIN(AM25:AM28)</f>
        <v>0</v>
      </c>
      <c r="BC30" s="89" t="s">
        <v>190</v>
      </c>
      <c r="BD30" s="89"/>
      <c r="BE30" s="85"/>
      <c r="BF30" s="85"/>
      <c r="BG30" s="102"/>
      <c r="BH30" s="85"/>
      <c r="BI30" s="85"/>
      <c r="BJ30" s="85"/>
      <c r="BK30" s="85"/>
      <c r="BL30" s="85"/>
      <c r="BM30" s="85"/>
      <c r="BN30" s="85"/>
      <c r="BO30" s="85"/>
      <c r="BP30" s="85"/>
      <c r="BQ30" s="85"/>
      <c r="BR30" s="85"/>
      <c r="BS30" s="85"/>
      <c r="BT30" s="85"/>
      <c r="BU30" s="85"/>
      <c r="BV30" s="97"/>
      <c r="BW30" s="85"/>
      <c r="BX30" s="85"/>
      <c r="BY30" s="85"/>
      <c r="BZ30" s="85"/>
      <c r="CA30" s="85"/>
      <c r="CB30" s="85"/>
    </row>
    <row r="31" spans="1:80" ht="15" customHeight="1" x14ac:dyDescent="0.45">
      <c r="A31" s="32" t="str">
        <f>IF('Your Details'!$D$11="","",'Your Details'!$D$11)</f>
        <v/>
      </c>
      <c r="B31" s="32" t="str">
        <f>IF('Your Details'!$D$13="","",'Your Details'!$D$13)</f>
        <v/>
      </c>
      <c r="C31" s="32" t="str">
        <f>IF('Your Details'!$D$14="","",'Your Details'!$D$14)</f>
        <v/>
      </c>
      <c r="D31" s="77">
        <v>20</v>
      </c>
      <c r="E31" s="78" t="s">
        <v>20</v>
      </c>
      <c r="F31" s="79">
        <v>44890</v>
      </c>
      <c r="G31" s="80">
        <v>0.91666666666666663</v>
      </c>
      <c r="H31" s="81" t="s">
        <v>39</v>
      </c>
      <c r="I31" s="82"/>
      <c r="J31" s="82"/>
      <c r="K31" s="83" t="s">
        <v>41</v>
      </c>
      <c r="L31" s="76" t="str">
        <f t="shared" si="7"/>
        <v/>
      </c>
      <c r="N31" s="84" t="s">
        <v>191</v>
      </c>
      <c r="O31" s="84" t="s">
        <v>9</v>
      </c>
      <c r="P31" s="84" t="s">
        <v>10</v>
      </c>
      <c r="Q31" s="84" t="s">
        <v>169</v>
      </c>
      <c r="R31" s="84" t="s">
        <v>12</v>
      </c>
      <c r="S31" s="84" t="s">
        <v>13</v>
      </c>
      <c r="T31" s="84" t="s">
        <v>177</v>
      </c>
      <c r="V31" s="46" t="e">
        <f>DATE(2022,11,25)+TIME(8,0,0)+gmt_delta</f>
        <v>#N/A</v>
      </c>
      <c r="W31" s="66" t="str">
        <f t="shared" si="0"/>
        <v/>
      </c>
      <c r="X31" s="66" t="str">
        <f t="shared" si="1"/>
        <v/>
      </c>
      <c r="Y31" s="47">
        <f t="shared" si="2"/>
        <v>0</v>
      </c>
      <c r="Z31" s="46">
        <f t="shared" si="3"/>
        <v>0</v>
      </c>
      <c r="AA31" s="46">
        <f t="shared" si="4"/>
        <v>0</v>
      </c>
      <c r="AB31" s="46">
        <f t="shared" si="5"/>
        <v>0</v>
      </c>
      <c r="AC31" s="46" t="str">
        <f t="shared" si="6"/>
        <v/>
      </c>
      <c r="AE31" s="46">
        <f>COUNTIF(AR31:AR34,CONCATENATE("&gt;=",AR31))</f>
        <v>1</v>
      </c>
      <c r="AF31" s="47" t="str">
        <f>VLOOKUP("France",T,lang,FALSE)</f>
        <v>France</v>
      </c>
      <c r="AG31" s="46">
        <f>COUNTIF($W$12:$X$59,"=" &amp; AF31 &amp; "_win")</f>
        <v>0</v>
      </c>
      <c r="AH31" s="46">
        <f>COUNTIF($W$12:$X$59,"=" &amp; AF31 &amp; "_draw")</f>
        <v>0</v>
      </c>
      <c r="AI31" s="46">
        <f>COUNTIF($W$12:$X$59,"=" &amp; AF31 &amp; "_lose")</f>
        <v>0</v>
      </c>
      <c r="AJ31" s="46">
        <f>SUMIF($H$12:$H$59,$AF31,$I$12:$I$59) + SUMIF($K$12:$K$59,$AF31,$J$12:$J$59)</f>
        <v>0</v>
      </c>
      <c r="AK31" s="46">
        <f>SUMIF($H$12:$H$59,$AF31,$J$12:$J$59) + SUMIF($K$12:$K$59,$AF31,$I$12:$I$59)</f>
        <v>0</v>
      </c>
      <c r="AL31" s="46">
        <f>(AJ31-AK31)*100+AO31*10000+AJ31</f>
        <v>0</v>
      </c>
      <c r="AM31" s="46">
        <f>AJ31-AK31</f>
        <v>0</v>
      </c>
      <c r="AN31" s="46">
        <f>(AM31-AM36)/AM35</f>
        <v>0</v>
      </c>
      <c r="AO31" s="46">
        <f>AG31*3+AH31</f>
        <v>0</v>
      </c>
      <c r="AP31" s="46">
        <f>AT31/AT35*1000+AU31/AU35*100+AX31/AX35*10+AV31/AV35</f>
        <v>0</v>
      </c>
      <c r="AQ31" s="46">
        <f>VLOOKUP(AF31,db_fifarank,2,FALSE)/2000000</f>
        <v>8.9499999999999996E-4</v>
      </c>
      <c r="AR31" s="47">
        <f>1000*AO31/AO35+100*AN31+10*AJ31/AJ35+1*AP31/AP35+AQ31</f>
        <v>8.9499999999999996E-4</v>
      </c>
      <c r="AS31" s="47" t="str">
        <f>IF(SUM(AG31:AI34)=12,N32,INDEX(T,76,lang))</f>
        <v>1D</v>
      </c>
      <c r="AT31" s="46">
        <f>SUMPRODUCT(($W$12:$W$59=AF31&amp;"_win")*($Y$12:$Y$59))+SUMPRODUCT(($X$12:$X$59=AF31&amp;"_win")*($Y$12:$Y$59))</f>
        <v>0</v>
      </c>
      <c r="AU31" s="46">
        <f>SUMPRODUCT(($W$12:$W$59=AF31&amp;"_draw")*($Y$12:$Y$59))+SUMPRODUCT(($X$12:$X$59=AF31&amp;"_draw")*($Y$12:$Y$59))</f>
        <v>0</v>
      </c>
      <c r="AV31" s="46">
        <f>SUMPRODUCT(($H$12:$H$59=AF31)*($Y$12:$Y$59)*($I$12:$I$59))+SUMPRODUCT(($K$12:$K$59=AF31)*($Y$12:$Y$59)*($J$12:$J$59))</f>
        <v>0</v>
      </c>
      <c r="AW31" s="46">
        <f>SUMPRODUCT(($H$12:$H$59=AF31)*($Y$12:$Y$59)*($J$12:$J$59))+SUMPRODUCT(($K$12:$K$59=AF31)*($Y$12:$Y$59)*($I$12:$I$59))</f>
        <v>0</v>
      </c>
      <c r="AX31" s="46">
        <f>AV31-AW31</f>
        <v>0</v>
      </c>
      <c r="BC31" s="195">
        <v>51</v>
      </c>
      <c r="BD31" s="92" t="str">
        <f>AS19</f>
        <v>1B</v>
      </c>
      <c r="BE31" s="93"/>
      <c r="BF31" s="94"/>
      <c r="BG31" s="95"/>
      <c r="BH31" s="85"/>
      <c r="BI31" s="85"/>
      <c r="BJ31" s="85"/>
      <c r="BK31" s="85"/>
      <c r="BL31" s="85"/>
      <c r="BM31" s="85"/>
      <c r="BN31" s="85"/>
      <c r="BO31" s="85"/>
      <c r="BP31" s="85"/>
      <c r="BQ31" s="85"/>
      <c r="BR31" s="85"/>
      <c r="BS31" s="85"/>
      <c r="BT31" s="85"/>
      <c r="BU31" s="85"/>
      <c r="BV31" s="97"/>
      <c r="BW31" s="85"/>
      <c r="BX31" s="85"/>
      <c r="BY31" s="85"/>
      <c r="BZ31" s="85"/>
      <c r="CA31" s="85"/>
      <c r="CB31" s="85"/>
    </row>
    <row r="32" spans="1:80" ht="15" customHeight="1" x14ac:dyDescent="0.45">
      <c r="A32" s="32" t="str">
        <f>IF('Your Details'!$D$11="","",'Your Details'!$D$11)</f>
        <v/>
      </c>
      <c r="B32" s="32" t="str">
        <f>IF('Your Details'!$D$13="","",'Your Details'!$D$13)</f>
        <v/>
      </c>
      <c r="C32" s="32" t="str">
        <f>IF('Your Details'!$D$14="","",'Your Details'!$D$14)</f>
        <v/>
      </c>
      <c r="D32" s="77">
        <v>21</v>
      </c>
      <c r="E32" s="78" t="s">
        <v>21</v>
      </c>
      <c r="F32" s="79">
        <v>44891</v>
      </c>
      <c r="G32" s="80">
        <v>0.54166666666666663</v>
      </c>
      <c r="H32" s="81" t="s">
        <v>50</v>
      </c>
      <c r="I32" s="82"/>
      <c r="J32" s="82"/>
      <c r="K32" s="83" t="s">
        <v>48</v>
      </c>
      <c r="L32" s="76" t="str">
        <f t="shared" si="7"/>
        <v/>
      </c>
      <c r="N32" s="87" t="str">
        <f>VLOOKUP(1,AE31:AO34,2,FALSE)</f>
        <v>France</v>
      </c>
      <c r="O32" s="88">
        <f>P32+Q32+R32</f>
        <v>0</v>
      </c>
      <c r="P32" s="88">
        <f>VLOOKUP(1,AE31:AO34,3,FALSE)</f>
        <v>0</v>
      </c>
      <c r="Q32" s="88">
        <f>VLOOKUP(1,AE31:AO34,4,FALSE)</f>
        <v>0</v>
      </c>
      <c r="R32" s="88">
        <f>VLOOKUP(1,AE31:AO34,5,FALSE)</f>
        <v>0</v>
      </c>
      <c r="S32" s="88" t="str">
        <f>VLOOKUP(1,AE31:AO34,6,FALSE) &amp; " - " &amp; VLOOKUP(1,AE31:AO34,7,FALSE)</f>
        <v>0 - 0</v>
      </c>
      <c r="T32" s="88">
        <f>P32*3+Q32</f>
        <v>0</v>
      </c>
      <c r="V32" s="46" t="e">
        <f>DATE(2022,11,25)+TIME(23,0,0)+gmt_delta</f>
        <v>#N/A</v>
      </c>
      <c r="W32" s="66" t="str">
        <f t="shared" si="0"/>
        <v/>
      </c>
      <c r="X32" s="66" t="str">
        <f t="shared" si="1"/>
        <v/>
      </c>
      <c r="Y32" s="47">
        <f t="shared" si="2"/>
        <v>0</v>
      </c>
      <c r="Z32" s="46">
        <f t="shared" si="3"/>
        <v>0</v>
      </c>
      <c r="AA32" s="46">
        <f t="shared" si="4"/>
        <v>0</v>
      </c>
      <c r="AB32" s="46">
        <f t="shared" si="5"/>
        <v>0</v>
      </c>
      <c r="AC32" s="46" t="str">
        <f t="shared" si="6"/>
        <v/>
      </c>
      <c r="AE32" s="46">
        <f>COUNTIF(AR31:AR34,CONCATENATE("&gt;=",AR32))</f>
        <v>4</v>
      </c>
      <c r="AF32" s="47" t="str">
        <f>VLOOKUP("Australia",T,lang,FALSE)</f>
        <v>Australia</v>
      </c>
      <c r="AG32" s="46">
        <f>COUNTIF($W$12:$X$59,"=" &amp; AF32 &amp; "_win")</f>
        <v>0</v>
      </c>
      <c r="AH32" s="46">
        <f>COUNTIF($W$12:$X$59,"=" &amp; AF32 &amp; "_draw")</f>
        <v>0</v>
      </c>
      <c r="AI32" s="46">
        <f>COUNTIF($W$12:$X$59,"=" &amp; AF32 &amp; "_lose")</f>
        <v>0</v>
      </c>
      <c r="AJ32" s="46">
        <f>SUMIF($H$12:$H$59,$AF32,$I$12:$I$59) + SUMIF($K$12:$K$59,$AF32,$J$12:$J$59)</f>
        <v>0</v>
      </c>
      <c r="AK32" s="46">
        <f>SUMIF($H$12:$H$59,$AF32,$J$12:$J$59) + SUMIF($K$12:$K$59,$AF32,$I$12:$I$59)</f>
        <v>0</v>
      </c>
      <c r="AL32" s="46">
        <f>(AJ32-AK32)*100+AO32*10000+AJ32</f>
        <v>0</v>
      </c>
      <c r="AM32" s="46">
        <f>AJ32-AK32</f>
        <v>0</v>
      </c>
      <c r="AN32" s="46">
        <f>(AM32-AM36)/AM35</f>
        <v>0</v>
      </c>
      <c r="AO32" s="46">
        <f>AG32*3+AH32</f>
        <v>0</v>
      </c>
      <c r="AP32" s="46">
        <f>AT32/AT35*1000+AU32/AU35*100+AX32/AX35*10+AV32/AV35</f>
        <v>0</v>
      </c>
      <c r="AQ32" s="46">
        <f>VLOOKUP(AF32,db_fifarank,2,FALSE)/2000000</f>
        <v>7.4186499999999997E-4</v>
      </c>
      <c r="AR32" s="47">
        <f>1000*AO32/AO35+100*AN32+10*AJ32/AJ35+1*AP32/AP35+AQ32</f>
        <v>7.4186499999999997E-4</v>
      </c>
      <c r="AS32" s="47" t="str">
        <f>IF(SUM(AG31:AI34)=12,N33,INDEX(T,77,lang))</f>
        <v>2D</v>
      </c>
      <c r="AT32" s="46">
        <f>SUMPRODUCT(($W$12:$W$59=AF32&amp;"_win")*($Y$12:$Y$59))+SUMPRODUCT(($X$12:$X$59=AF32&amp;"_win")*($Y$12:$Y$59))</f>
        <v>0</v>
      </c>
      <c r="AU32" s="46">
        <f>SUMPRODUCT(($W$12:$W$59=AF32&amp;"_draw")*($Y$12:$Y$59))+SUMPRODUCT(($X$12:$X$59=AF32&amp;"_draw")*($Y$12:$Y$59))</f>
        <v>0</v>
      </c>
      <c r="AV32" s="46">
        <f>SUMPRODUCT(($H$12:$H$59=AF32)*($Y$12:$Y$59)*($I$12:$I$59))+SUMPRODUCT(($K$12:$K$59=AF32)*($Y$12:$Y$59)*($J$12:$J$59))</f>
        <v>0</v>
      </c>
      <c r="AW32" s="46">
        <f>SUMPRODUCT(($H$12:$H$59=AF32)*($Y$12:$Y$59)*($J$12:$J$59))+SUMPRODUCT(($K$12:$K$59=AF32)*($Y$12:$Y$59)*($I$12:$I$59))</f>
        <v>0</v>
      </c>
      <c r="AX32" s="46">
        <f>AV32-AW32</f>
        <v>0</v>
      </c>
      <c r="BC32" s="195"/>
      <c r="BD32" s="92" t="str">
        <f>AS14</f>
        <v>2A</v>
      </c>
      <c r="BE32" s="93"/>
      <c r="BF32" s="94"/>
      <c r="BG32" s="95"/>
      <c r="BH32" s="96"/>
      <c r="BI32" s="85"/>
      <c r="BJ32" s="89" t="s">
        <v>192</v>
      </c>
      <c r="BK32" s="85"/>
      <c r="BL32" s="85"/>
      <c r="BM32" s="85"/>
      <c r="BN32" s="98"/>
      <c r="BO32" s="85"/>
      <c r="BP32" s="85"/>
      <c r="BQ32" s="85"/>
      <c r="BR32" s="85"/>
      <c r="BS32" s="85"/>
      <c r="BT32" s="85"/>
      <c r="BU32" s="85"/>
      <c r="BV32" s="97"/>
      <c r="BW32" s="85"/>
      <c r="BX32" s="85"/>
      <c r="BY32" s="85"/>
      <c r="BZ32" s="85"/>
      <c r="CA32" s="85"/>
      <c r="CB32" s="85"/>
    </row>
    <row r="33" spans="1:80" ht="15" customHeight="1" x14ac:dyDescent="0.45">
      <c r="A33" s="32" t="str">
        <f>IF('Your Details'!$D$11="","",'Your Details'!$D$11)</f>
        <v/>
      </c>
      <c r="B33" s="32" t="str">
        <f>IF('Your Details'!$D$13="","",'Your Details'!$D$13)</f>
        <v/>
      </c>
      <c r="C33" s="32" t="str">
        <f>IF('Your Details'!$D$14="","",'Your Details'!$D$14)</f>
        <v/>
      </c>
      <c r="D33" s="86">
        <v>22</v>
      </c>
      <c r="E33" s="78" t="s">
        <v>21</v>
      </c>
      <c r="F33" s="79">
        <v>44891</v>
      </c>
      <c r="G33" s="80">
        <v>0.66666666666666663</v>
      </c>
      <c r="H33" s="81" t="s">
        <v>46</v>
      </c>
      <c r="I33" s="82"/>
      <c r="J33" s="82"/>
      <c r="K33" s="83" t="s">
        <v>44</v>
      </c>
      <c r="L33" s="76" t="str">
        <f t="shared" si="7"/>
        <v/>
      </c>
      <c r="N33" s="87" t="str">
        <f>VLOOKUP(2,AE31:AO34,2,FALSE)</f>
        <v>Denmark</v>
      </c>
      <c r="O33" s="88">
        <f>P33+Q33+R33</f>
        <v>0</v>
      </c>
      <c r="P33" s="88">
        <f>VLOOKUP(2,AE31:AO34,3,FALSE)</f>
        <v>0</v>
      </c>
      <c r="Q33" s="88">
        <f>VLOOKUP(2,AE31:AO34,4,FALSE)</f>
        <v>0</v>
      </c>
      <c r="R33" s="88">
        <f>VLOOKUP(2,AE31:AO34,5,FALSE)</f>
        <v>0</v>
      </c>
      <c r="S33" s="88" t="str">
        <f>VLOOKUP(2,AE31:AO34,6,FALSE) &amp; " - " &amp; VLOOKUP(2,AE31:AO34,7,FALSE)</f>
        <v>0 - 0</v>
      </c>
      <c r="T33" s="88">
        <f>P33*3+Q33</f>
        <v>0</v>
      </c>
      <c r="V33" s="46" t="e">
        <f>DATE(2022,11,26)+TIME(2,0,0)+gmt_delta</f>
        <v>#N/A</v>
      </c>
      <c r="W33" s="66" t="str">
        <f t="shared" si="0"/>
        <v/>
      </c>
      <c r="X33" s="66" t="str">
        <f t="shared" si="1"/>
        <v/>
      </c>
      <c r="Y33" s="47">
        <f t="shared" si="2"/>
        <v>0</v>
      </c>
      <c r="Z33" s="46">
        <f t="shared" si="3"/>
        <v>0</v>
      </c>
      <c r="AA33" s="46">
        <f t="shared" si="4"/>
        <v>0</v>
      </c>
      <c r="AB33" s="46">
        <f t="shared" si="5"/>
        <v>0</v>
      </c>
      <c r="AC33" s="46" t="str">
        <f t="shared" si="6"/>
        <v/>
      </c>
      <c r="AE33" s="46">
        <f>COUNTIF(AR31:AR34,CONCATENATE("&gt;=",AR33))</f>
        <v>2</v>
      </c>
      <c r="AF33" s="47" t="str">
        <f>VLOOKUP("Denmark",T,lang,FALSE)</f>
        <v>Denmark</v>
      </c>
      <c r="AG33" s="46">
        <f>COUNTIF($W$12:$X$59,"=" &amp; AF33 &amp; "_win")</f>
        <v>0</v>
      </c>
      <c r="AH33" s="46">
        <f>COUNTIF($W$12:$X$59,"=" &amp; AF33 &amp; "_draw")</f>
        <v>0</v>
      </c>
      <c r="AI33" s="46">
        <f>COUNTIF($W$12:$X$59,"=" &amp; AF33 &amp; "_lose")</f>
        <v>0</v>
      </c>
      <c r="AJ33" s="46">
        <f>SUMIF($H$12:$H$59,$AF33,$I$12:$I$59) + SUMIF($K$12:$K$59,$AF33,$J$12:$J$59)</f>
        <v>0</v>
      </c>
      <c r="AK33" s="46">
        <f>SUMIF($H$12:$H$59,$AF33,$J$12:$J$59) + SUMIF($K$12:$K$59,$AF33,$I$12:$I$59)</f>
        <v>0</v>
      </c>
      <c r="AL33" s="46">
        <f>(AJ33-AK33)*100+AO33*10000+AJ33</f>
        <v>0</v>
      </c>
      <c r="AM33" s="46">
        <f>AJ33-AK33</f>
        <v>0</v>
      </c>
      <c r="AN33" s="46">
        <f>(AM33-AM36)/AM35</f>
        <v>0</v>
      </c>
      <c r="AO33" s="46">
        <f>AG33*3+AH33</f>
        <v>0</v>
      </c>
      <c r="AP33" s="46">
        <f>AT33/AT35*1000+AU33/AU35*100+AX33/AX35*10+AV33/AV35</f>
        <v>0</v>
      </c>
      <c r="AQ33" s="46">
        <f>VLOOKUP(AF33,db_fifarank,2,FALSE)/2000000</f>
        <v>8.2679999999999993E-4</v>
      </c>
      <c r="AR33" s="47">
        <f>1000*AO33/AO35+100*AN33+10*AJ33/AJ35+1*AP33/AP35+AQ33</f>
        <v>8.2679999999999993E-4</v>
      </c>
      <c r="AT33" s="46">
        <f>SUMPRODUCT(($W$12:$W$59=AF33&amp;"_win")*($Y$12:$Y$59))+SUMPRODUCT(($X$12:$X$59=AF33&amp;"_win")*($Y$12:$Y$59))</f>
        <v>0</v>
      </c>
      <c r="AU33" s="46">
        <f>SUMPRODUCT(($W$12:$W$59=AF33&amp;"_draw")*($Y$12:$Y$59))+SUMPRODUCT(($X$12:$X$59=AF33&amp;"_draw")*($Y$12:$Y$59))</f>
        <v>0</v>
      </c>
      <c r="AV33" s="46">
        <f>SUMPRODUCT(($H$12:$H$59=AF33)*($Y$12:$Y$59)*($I$12:$I$59))+SUMPRODUCT(($K$12:$K$59=AF33)*($Y$12:$Y$59)*($J$12:$J$59))</f>
        <v>0</v>
      </c>
      <c r="AW33" s="46">
        <f>SUMPRODUCT(($H$12:$H$59=AF33)*($Y$12:$Y$59)*($J$12:$J$59))+SUMPRODUCT(($K$12:$K$59=AF33)*($Y$12:$Y$59)*($I$12:$I$59))</f>
        <v>0</v>
      </c>
      <c r="AX33" s="46">
        <f>AV33-AW33</f>
        <v>0</v>
      </c>
      <c r="BC33" s="85"/>
      <c r="BD33" s="85"/>
      <c r="BE33" s="85"/>
      <c r="BF33" s="85"/>
      <c r="BG33" s="85"/>
      <c r="BH33" s="97"/>
      <c r="BI33" s="85"/>
      <c r="BJ33" s="195">
        <v>59</v>
      </c>
      <c r="BK33" s="92" t="str">
        <f>X65</f>
        <v>W51</v>
      </c>
      <c r="BL33" s="93"/>
      <c r="BM33" s="94"/>
      <c r="BN33" s="95"/>
      <c r="BO33" s="85"/>
      <c r="BP33" s="85"/>
      <c r="BQ33" s="85"/>
      <c r="BR33" s="85"/>
      <c r="BS33" s="85"/>
      <c r="BT33" s="85"/>
      <c r="BU33" s="85"/>
      <c r="BV33" s="97"/>
      <c r="BW33" s="85"/>
      <c r="BX33" s="85"/>
      <c r="BY33" s="85"/>
      <c r="BZ33" s="85"/>
      <c r="CA33" s="85"/>
      <c r="CB33" s="85"/>
    </row>
    <row r="34" spans="1:80" ht="15" customHeight="1" x14ac:dyDescent="0.45">
      <c r="A34" s="32" t="str">
        <f>IF('Your Details'!$D$11="","",'Your Details'!$D$11)</f>
        <v/>
      </c>
      <c r="B34" s="32" t="str">
        <f>IF('Your Details'!$D$13="","",'Your Details'!$D$13)</f>
        <v/>
      </c>
      <c r="C34" s="32" t="str">
        <f>IF('Your Details'!$D$14="","",'Your Details'!$D$14)</f>
        <v/>
      </c>
      <c r="D34" s="77">
        <v>23</v>
      </c>
      <c r="E34" s="78" t="s">
        <v>21</v>
      </c>
      <c r="F34" s="79">
        <v>44891</v>
      </c>
      <c r="G34" s="80">
        <v>0.79166666666666663</v>
      </c>
      <c r="H34" s="81" t="s">
        <v>47</v>
      </c>
      <c r="I34" s="82"/>
      <c r="J34" s="82"/>
      <c r="K34" s="83" t="s">
        <v>49</v>
      </c>
      <c r="L34" s="76" t="str">
        <f t="shared" si="7"/>
        <v/>
      </c>
      <c r="N34" s="87" t="str">
        <f>VLOOKUP(3,AE31:AO34,2,FALSE)</f>
        <v>Tunisia</v>
      </c>
      <c r="O34" s="88">
        <f>P34+Q34+R34</f>
        <v>0</v>
      </c>
      <c r="P34" s="88">
        <f>VLOOKUP(3,AE31:AO34,3,FALSE)</f>
        <v>0</v>
      </c>
      <c r="Q34" s="88">
        <f>VLOOKUP(3,AE31:AO34,4,FALSE)</f>
        <v>0</v>
      </c>
      <c r="R34" s="88">
        <f>VLOOKUP(3,AE31:AO34,5,FALSE)</f>
        <v>0</v>
      </c>
      <c r="S34" s="88" t="str">
        <f>VLOOKUP(3,AE31:AO34,6,FALSE) &amp; " - " &amp; VLOOKUP(3,AE31:AO34,7,FALSE)</f>
        <v>0 - 0</v>
      </c>
      <c r="T34" s="88">
        <f>P34*3+Q34</f>
        <v>0</v>
      </c>
      <c r="V34" s="46" t="e">
        <f>DATE(2022,11,26)+TIME(5,0,0)+gmt_delta</f>
        <v>#N/A</v>
      </c>
      <c r="W34" s="66" t="str">
        <f t="shared" si="0"/>
        <v/>
      </c>
      <c r="X34" s="66" t="str">
        <f t="shared" si="1"/>
        <v/>
      </c>
      <c r="Y34" s="47">
        <f t="shared" si="2"/>
        <v>0</v>
      </c>
      <c r="Z34" s="46">
        <f t="shared" si="3"/>
        <v>0</v>
      </c>
      <c r="AA34" s="46">
        <f t="shared" si="4"/>
        <v>0</v>
      </c>
      <c r="AB34" s="46">
        <f t="shared" si="5"/>
        <v>0</v>
      </c>
      <c r="AC34" s="46" t="str">
        <f t="shared" si="6"/>
        <v/>
      </c>
      <c r="AE34" s="46">
        <f>COUNTIF(AR31:AR34,CONCATENATE("&gt;=",AR34))</f>
        <v>3</v>
      </c>
      <c r="AF34" s="47" t="str">
        <f>VLOOKUP("Tunisia",T,lang,FALSE)</f>
        <v>Tunisia</v>
      </c>
      <c r="AG34" s="46">
        <f>COUNTIF($W$12:$X$59,"=" &amp; AF34 &amp; "_win")</f>
        <v>0</v>
      </c>
      <c r="AH34" s="46">
        <f>COUNTIF($W$12:$X$59,"=" &amp; AF34 &amp; "_draw")</f>
        <v>0</v>
      </c>
      <c r="AI34" s="46">
        <f>COUNTIF($W$12:$X$59,"=" &amp; AF34 &amp; "_lose")</f>
        <v>0</v>
      </c>
      <c r="AJ34" s="46">
        <f>SUMIF($H$12:$H$59,$AF34,$I$12:$I$59) + SUMIF($K$12:$K$59,$AF34,$J$12:$J$59)</f>
        <v>0</v>
      </c>
      <c r="AK34" s="46">
        <f>SUMIF($H$12:$H$59,$AF34,$J$12:$J$59) + SUMIF($K$12:$K$59,$AF34,$I$12:$I$59)</f>
        <v>0</v>
      </c>
      <c r="AL34" s="46">
        <f>(AJ34-AK34)*100+AO34*10000+AJ34</f>
        <v>0</v>
      </c>
      <c r="AM34" s="46">
        <f>AJ34-AK34</f>
        <v>0</v>
      </c>
      <c r="AN34" s="46">
        <f>(AM34-AM36)/AM35</f>
        <v>0</v>
      </c>
      <c r="AO34" s="46">
        <f>AG34*3+AH34</f>
        <v>0</v>
      </c>
      <c r="AP34" s="46">
        <f>AT34/AT35*1000+AU34/AU35*100+AX34/AX35*10+AV34/AV35</f>
        <v>0</v>
      </c>
      <c r="AQ34" s="46">
        <f>VLOOKUP(AF34,db_fifarank,2,FALSE)/2000000</f>
        <v>7.4989999999999996E-4</v>
      </c>
      <c r="AR34" s="47">
        <f>1000*AO34/AO35+100*AN34+10*AJ34/AJ35+1*AP34/AP35+AQ34</f>
        <v>7.4989999999999996E-4</v>
      </c>
      <c r="AT34" s="46">
        <f>SUMPRODUCT(($W$12:$W$59=AF34&amp;"_win")*($Y$12:$Y$59))+SUMPRODUCT(($X$12:$X$59=AF34&amp;"_win")*($Y$12:$Y$59))</f>
        <v>0</v>
      </c>
      <c r="AU34" s="46">
        <f>SUMPRODUCT(($W$12:$W$59=AF34&amp;"_draw")*($Y$12:$Y$59))+SUMPRODUCT(($X$12:$X$59=AF34&amp;"_draw")*($Y$12:$Y$59))</f>
        <v>0</v>
      </c>
      <c r="AV34" s="46">
        <f>SUMPRODUCT(($H$12:$H$59=AF34)*($Y$12:$Y$59)*($I$12:$I$59))+SUMPRODUCT(($K$12:$K$59=AF34)*($Y$12:$Y$59)*($J$12:$J$59))</f>
        <v>0</v>
      </c>
      <c r="AW34" s="46">
        <f>SUMPRODUCT(($H$12:$H$59=AF34)*($Y$12:$Y$59)*($J$12:$J$59))+SUMPRODUCT(($K$12:$K$59=AF34)*($Y$12:$Y$59)*($I$12:$I$59))</f>
        <v>0</v>
      </c>
      <c r="AX34" s="46">
        <f>AV34-AW34</f>
        <v>0</v>
      </c>
      <c r="BC34" s="89" t="s">
        <v>193</v>
      </c>
      <c r="BD34" s="89"/>
      <c r="BE34" s="85"/>
      <c r="BF34" s="85"/>
      <c r="BG34" s="98"/>
      <c r="BH34" s="97"/>
      <c r="BI34" s="99"/>
      <c r="BJ34" s="195"/>
      <c r="BK34" s="92" t="str">
        <f>X66</f>
        <v>W52</v>
      </c>
      <c r="BL34" s="93"/>
      <c r="BM34" s="94"/>
      <c r="BN34" s="95"/>
      <c r="BO34" s="96"/>
      <c r="BP34" s="85"/>
      <c r="BQ34" s="85"/>
      <c r="BR34" s="85"/>
      <c r="BS34" s="85"/>
      <c r="BT34" s="85"/>
      <c r="BU34" s="85"/>
      <c r="BV34" s="97"/>
      <c r="BW34" s="85"/>
      <c r="BX34" s="85"/>
      <c r="BY34" s="85"/>
      <c r="BZ34" s="85"/>
      <c r="CA34" s="85"/>
      <c r="CB34" s="85"/>
    </row>
    <row r="35" spans="1:80" ht="15" customHeight="1" thickBot="1" x14ac:dyDescent="0.5">
      <c r="A35" s="32" t="str">
        <f>IF('Your Details'!$D$11="","",'Your Details'!$D$11)</f>
        <v/>
      </c>
      <c r="B35" s="32" t="str">
        <f>IF('Your Details'!$D$13="","",'Your Details'!$D$13)</f>
        <v/>
      </c>
      <c r="C35" s="32" t="str">
        <f>IF('Your Details'!$D$14="","",'Your Details'!$D$14)</f>
        <v/>
      </c>
      <c r="D35" s="77">
        <v>24</v>
      </c>
      <c r="E35" s="78" t="s">
        <v>21</v>
      </c>
      <c r="F35" s="79">
        <v>44891</v>
      </c>
      <c r="G35" s="80">
        <v>0.91666666666666663</v>
      </c>
      <c r="H35" s="81" t="s">
        <v>43</v>
      </c>
      <c r="I35" s="82"/>
      <c r="J35" s="82"/>
      <c r="K35" s="83" t="s">
        <v>45</v>
      </c>
      <c r="L35" s="76" t="str">
        <f t="shared" si="7"/>
        <v/>
      </c>
      <c r="N35" s="87" t="str">
        <f>VLOOKUP(4,AE31:AO34,2,FALSE)</f>
        <v>Australia</v>
      </c>
      <c r="O35" s="88">
        <f>P35+Q35+R35</f>
        <v>0</v>
      </c>
      <c r="P35" s="88">
        <f>VLOOKUP(4,AE31:AO34,3,FALSE)</f>
        <v>0</v>
      </c>
      <c r="Q35" s="88">
        <f>VLOOKUP(4,AE31:AO34,4,FALSE)</f>
        <v>0</v>
      </c>
      <c r="R35" s="88">
        <f>VLOOKUP(4,AE31:AO34,5,FALSE)</f>
        <v>0</v>
      </c>
      <c r="S35" s="88" t="str">
        <f>VLOOKUP(4,AE31:AO34,6,FALSE) &amp; " - " &amp; VLOOKUP(4,AE31:AO34,7,FALSE)</f>
        <v>0 - 0</v>
      </c>
      <c r="T35" s="88">
        <f>P35*3+Q35</f>
        <v>0</v>
      </c>
      <c r="V35" s="46" t="e">
        <f>DATE(2022,11,26)+TIME(8,0,0)+gmt_delta</f>
        <v>#N/A</v>
      </c>
      <c r="W35" s="66" t="str">
        <f t="shared" si="0"/>
        <v/>
      </c>
      <c r="X35" s="66" t="str">
        <f t="shared" si="1"/>
        <v/>
      </c>
      <c r="Y35" s="47">
        <f t="shared" si="2"/>
        <v>0</v>
      </c>
      <c r="Z35" s="46">
        <f t="shared" si="3"/>
        <v>0</v>
      </c>
      <c r="AA35" s="46">
        <f t="shared" si="4"/>
        <v>0</v>
      </c>
      <c r="AB35" s="46">
        <f t="shared" si="5"/>
        <v>0</v>
      </c>
      <c r="AC35" s="46" t="str">
        <f t="shared" si="6"/>
        <v/>
      </c>
      <c r="AG35" s="46">
        <f t="shared" ref="AG35:AP35" si="11">MAX(AG31:AG34)-MIN(AG31:AG34)+1</f>
        <v>1</v>
      </c>
      <c r="AH35" s="46">
        <f t="shared" si="11"/>
        <v>1</v>
      </c>
      <c r="AI35" s="46">
        <f t="shared" si="11"/>
        <v>1</v>
      </c>
      <c r="AJ35" s="46">
        <f t="shared" si="11"/>
        <v>1</v>
      </c>
      <c r="AK35" s="46">
        <f t="shared" si="11"/>
        <v>1</v>
      </c>
      <c r="AL35" s="46">
        <f>MAX(AL31:AL34)-AL36+1</f>
        <v>1</v>
      </c>
      <c r="AM35" s="46">
        <f>MAX(AM31:AM34)-AM36+1</f>
        <v>1</v>
      </c>
      <c r="AO35" s="46">
        <f t="shared" si="11"/>
        <v>1</v>
      </c>
      <c r="AP35" s="46">
        <f t="shared" si="11"/>
        <v>1</v>
      </c>
      <c r="AT35" s="46">
        <f>MAX(AT31:AT34)-MIN(AT31:AT34)+1</f>
        <v>1</v>
      </c>
      <c r="AU35" s="46">
        <f>MAX(AU31:AU34)-MIN(AU31:AU34)+1</f>
        <v>1</v>
      </c>
      <c r="AV35" s="46">
        <f>MAX(AV31:AV34)-MIN(AV31:AV34)+1</f>
        <v>1</v>
      </c>
      <c r="AW35" s="46">
        <f>MAX(AW31:AW34)-MIN(AW31:AW34)+1</f>
        <v>1</v>
      </c>
      <c r="AX35" s="46">
        <f>MAX(AX31:AX34)-MIN(AX31:AX34)+1</f>
        <v>1</v>
      </c>
      <c r="BC35" s="195">
        <v>52</v>
      </c>
      <c r="BD35" s="92" t="str">
        <f>AS31</f>
        <v>1D</v>
      </c>
      <c r="BE35" s="93"/>
      <c r="BF35" s="94"/>
      <c r="BG35" s="95"/>
      <c r="BH35" s="100"/>
      <c r="BI35" s="85"/>
      <c r="BJ35" s="85"/>
      <c r="BK35" s="85"/>
      <c r="BL35" s="85"/>
      <c r="BM35" s="85"/>
      <c r="BN35" s="85"/>
      <c r="BO35" s="97"/>
      <c r="BP35" s="85"/>
      <c r="BQ35" s="85"/>
      <c r="BR35" s="85"/>
      <c r="BS35" s="85"/>
      <c r="BT35" s="85"/>
      <c r="BU35" s="85"/>
      <c r="BV35" s="97"/>
      <c r="BW35" s="85"/>
      <c r="BX35" s="85"/>
      <c r="BY35" s="85"/>
      <c r="BZ35" s="85"/>
      <c r="CA35" s="85"/>
      <c r="CB35" s="85"/>
    </row>
    <row r="36" spans="1:80" ht="15" customHeight="1" x14ac:dyDescent="0.45">
      <c r="A36" s="32" t="str">
        <f>IF('Your Details'!$D$11="","",'Your Details'!$D$11)</f>
        <v/>
      </c>
      <c r="B36" s="32" t="str">
        <f>IF('Your Details'!$D$13="","",'Your Details'!$D$13)</f>
        <v/>
      </c>
      <c r="C36" s="32" t="str">
        <f>IF('Your Details'!$D$14="","",'Your Details'!$D$14)</f>
        <v/>
      </c>
      <c r="D36" s="77">
        <v>25</v>
      </c>
      <c r="E36" s="78" t="s">
        <v>15</v>
      </c>
      <c r="F36" s="79">
        <v>44892</v>
      </c>
      <c r="G36" s="80">
        <v>0.54166666666666663</v>
      </c>
      <c r="H36" s="81" t="s">
        <v>54</v>
      </c>
      <c r="I36" s="82"/>
      <c r="J36" s="82"/>
      <c r="K36" s="83" t="s">
        <v>52</v>
      </c>
      <c r="L36" s="76" t="str">
        <f t="shared" si="7"/>
        <v/>
      </c>
      <c r="V36" s="46" t="e">
        <f>DATE(2022,11,26)+TIME(23,0,0)+gmt_delta</f>
        <v>#N/A</v>
      </c>
      <c r="W36" s="66" t="str">
        <f t="shared" si="0"/>
        <v/>
      </c>
      <c r="X36" s="66" t="str">
        <f t="shared" si="1"/>
        <v/>
      </c>
      <c r="Y36" s="47">
        <f t="shared" si="2"/>
        <v>0</v>
      </c>
      <c r="Z36" s="46">
        <f t="shared" si="3"/>
        <v>0</v>
      </c>
      <c r="AA36" s="46">
        <f t="shared" si="4"/>
        <v>0</v>
      </c>
      <c r="AB36" s="46">
        <f t="shared" si="5"/>
        <v>0</v>
      </c>
      <c r="AC36" s="46" t="str">
        <f t="shared" si="6"/>
        <v/>
      </c>
      <c r="AL36" s="46">
        <f>MIN(AL31:AL34)</f>
        <v>0</v>
      </c>
      <c r="AM36" s="46">
        <f>MIN(AM31:AM34)</f>
        <v>0</v>
      </c>
      <c r="BC36" s="195"/>
      <c r="BD36" s="92" t="str">
        <f>AS26</f>
        <v>2C</v>
      </c>
      <c r="BE36" s="93"/>
      <c r="BF36" s="94"/>
      <c r="BG36" s="95"/>
      <c r="BH36" s="85"/>
      <c r="BI36" s="85"/>
      <c r="BJ36" s="85"/>
      <c r="BK36" s="85"/>
      <c r="BL36" s="85"/>
      <c r="BM36" s="85"/>
      <c r="BN36" s="85"/>
      <c r="BO36" s="97"/>
      <c r="BP36" s="85"/>
      <c r="BQ36" s="89" t="s">
        <v>194</v>
      </c>
      <c r="BR36" s="89"/>
      <c r="BS36" s="85"/>
      <c r="BT36" s="85"/>
      <c r="BU36" s="98"/>
      <c r="BV36" s="97"/>
      <c r="BW36" s="85"/>
      <c r="BX36" s="207" t="s">
        <v>6</v>
      </c>
      <c r="BY36" s="208"/>
      <c r="BZ36" s="208"/>
      <c r="CA36" s="208"/>
      <c r="CB36" s="209"/>
    </row>
    <row r="37" spans="1:80" ht="15" customHeight="1" thickBot="1" x14ac:dyDescent="0.5">
      <c r="A37" s="32" t="str">
        <f>IF('Your Details'!$D$11="","",'Your Details'!$D$11)</f>
        <v/>
      </c>
      <c r="B37" s="32" t="str">
        <f>IF('Your Details'!$D$13="","",'Your Details'!$D$13)</f>
        <v/>
      </c>
      <c r="C37" s="32" t="str">
        <f>IF('Your Details'!$D$14="","",'Your Details'!$D$14)</f>
        <v/>
      </c>
      <c r="D37" s="77">
        <v>26</v>
      </c>
      <c r="E37" s="78" t="s">
        <v>15</v>
      </c>
      <c r="F37" s="79">
        <v>44892</v>
      </c>
      <c r="G37" s="80">
        <v>0.66666666666666663</v>
      </c>
      <c r="H37" s="81" t="s">
        <v>55</v>
      </c>
      <c r="I37" s="82"/>
      <c r="J37" s="82"/>
      <c r="K37" s="83" t="s">
        <v>57</v>
      </c>
      <c r="L37" s="76" t="str">
        <f t="shared" si="7"/>
        <v/>
      </c>
      <c r="N37" s="84" t="s">
        <v>195</v>
      </c>
      <c r="O37" s="84" t="s">
        <v>9</v>
      </c>
      <c r="P37" s="84" t="s">
        <v>10</v>
      </c>
      <c r="Q37" s="84" t="s">
        <v>169</v>
      </c>
      <c r="R37" s="84" t="s">
        <v>12</v>
      </c>
      <c r="S37" s="84" t="s">
        <v>13</v>
      </c>
      <c r="T37" s="84" t="s">
        <v>177</v>
      </c>
      <c r="V37" s="46" t="e">
        <f>DATE(2022,11,27)+TIME(2,0,0)+gmt_delta</f>
        <v>#N/A</v>
      </c>
      <c r="W37" s="66" t="str">
        <f t="shared" si="0"/>
        <v/>
      </c>
      <c r="X37" s="66" t="str">
        <f t="shared" si="1"/>
        <v/>
      </c>
      <c r="Y37" s="47">
        <f t="shared" si="2"/>
        <v>0</v>
      </c>
      <c r="Z37" s="46">
        <f t="shared" si="3"/>
        <v>0</v>
      </c>
      <c r="AA37" s="46">
        <f t="shared" si="4"/>
        <v>0</v>
      </c>
      <c r="AB37" s="46">
        <f t="shared" si="5"/>
        <v>0</v>
      </c>
      <c r="AC37" s="46" t="str">
        <f t="shared" si="6"/>
        <v/>
      </c>
      <c r="AE37" s="46">
        <f>COUNTIF(AR37:AR40,CONCATENATE("&gt;=",AR37))</f>
        <v>1</v>
      </c>
      <c r="AF37" s="47" t="str">
        <f>VLOOKUP("Spain",T,lang,FALSE)</f>
        <v>Spain</v>
      </c>
      <c r="AG37" s="46">
        <f>COUNTIF($W$12:$X$59,"=" &amp; AF37 &amp; "_win")</f>
        <v>0</v>
      </c>
      <c r="AH37" s="46">
        <f>COUNTIF($W$12:$X$59,"=" &amp; AF37 &amp; "_draw")</f>
        <v>0</v>
      </c>
      <c r="AI37" s="46">
        <f>COUNTIF($W$12:$X$59,"=" &amp; AF37 &amp; "_lose")</f>
        <v>0</v>
      </c>
      <c r="AJ37" s="46">
        <f>SUMIF($H$12:$H$59,$AF37,$I$12:$I$59) + SUMIF($K$12:$K$59,$AF37,$J$12:$J$59)</f>
        <v>0</v>
      </c>
      <c r="AK37" s="46">
        <f>SUMIF($H$12:$H$59,$AF37,$J$12:$J$59) + SUMIF($K$12:$K$59,$AF37,$I$12:$I$59)</f>
        <v>0</v>
      </c>
      <c r="AL37" s="46">
        <f>(AJ37-AK37)*100+AO37*10000+AJ37</f>
        <v>0</v>
      </c>
      <c r="AM37" s="46">
        <f>AJ37-AK37</f>
        <v>0</v>
      </c>
      <c r="AN37" s="46">
        <f>(AM37-AM42)/AM41</f>
        <v>0</v>
      </c>
      <c r="AO37" s="46">
        <f>AG37*3+AH37</f>
        <v>0</v>
      </c>
      <c r="AP37" s="46">
        <f>AT37/AT41*1000+AU37/AU41*100+AX37/AX41*10+AV37/AV41</f>
        <v>0</v>
      </c>
      <c r="AQ37" s="46">
        <f>VLOOKUP(AF37,db_fifarank,2,FALSE)/2000000</f>
        <v>8.5450000000000001E-4</v>
      </c>
      <c r="AR37" s="47">
        <f>1000*AO37/AO41+100*AN37+10*AJ37/AJ41+1*AP37/AP41+AQ37</f>
        <v>8.5450000000000001E-4</v>
      </c>
      <c r="AS37" s="47" t="str">
        <f>IF(SUM(AG37:AI40)=12,N38,INDEX(T,78,lang))</f>
        <v>1E</v>
      </c>
      <c r="AT37" s="46">
        <f>SUMPRODUCT(($W$12:$W$59=AF37&amp;"_win")*($Y$12:$Y$59))+SUMPRODUCT(($X$12:$X$59=AF37&amp;"_win")*($Y$12:$Y$59))</f>
        <v>0</v>
      </c>
      <c r="AU37" s="46">
        <f>SUMPRODUCT(($W$12:$W$59=AF37&amp;"_draw")*($Y$12:$Y$59))+SUMPRODUCT(($X$12:$X$59=AF37&amp;"_draw")*($Y$12:$Y$59))</f>
        <v>0</v>
      </c>
      <c r="AV37" s="46">
        <f>SUMPRODUCT(($H$12:$H$59=AF37)*($Y$12:$Y$59)*($I$12:$I$59))+SUMPRODUCT(($K$12:$K$59=AF37)*($Y$12:$Y$59)*($J$12:$J$59))</f>
        <v>0</v>
      </c>
      <c r="AW37" s="46">
        <f>SUMPRODUCT(($H$12:$H$59=AF37)*($Y$12:$Y$59)*($J$12:$J$59))+SUMPRODUCT(($K$12:$K$59=AF37)*($Y$12:$Y$59)*($I$12:$I$59))</f>
        <v>0</v>
      </c>
      <c r="AX37" s="46">
        <f>AV37-AW37</f>
        <v>0</v>
      </c>
      <c r="BC37" s="85"/>
      <c r="BD37" s="85"/>
      <c r="BE37" s="85"/>
      <c r="BF37" s="85"/>
      <c r="BG37" s="85"/>
      <c r="BH37" s="85"/>
      <c r="BI37" s="85"/>
      <c r="BJ37" s="85"/>
      <c r="BK37" s="85"/>
      <c r="BL37" s="85"/>
      <c r="BM37" s="85"/>
      <c r="BN37" s="85"/>
      <c r="BO37" s="97"/>
      <c r="BP37" s="85"/>
      <c r="BQ37" s="195">
        <v>62</v>
      </c>
      <c r="BR37" s="92" t="str">
        <f>X76</f>
        <v>W59</v>
      </c>
      <c r="BS37" s="93"/>
      <c r="BT37" s="94"/>
      <c r="BU37" s="95"/>
      <c r="BV37" s="100"/>
      <c r="BW37" s="85"/>
      <c r="BX37" s="210"/>
      <c r="BY37" s="211"/>
      <c r="BZ37" s="211"/>
      <c r="CA37" s="211"/>
      <c r="CB37" s="212"/>
    </row>
    <row r="38" spans="1:80" ht="15" customHeight="1" x14ac:dyDescent="0.45">
      <c r="A38" s="32" t="str">
        <f>IF('Your Details'!$D$11="","",'Your Details'!$D$11)</f>
        <v/>
      </c>
      <c r="B38" s="32" t="str">
        <f>IF('Your Details'!$D$13="","",'Your Details'!$D$13)</f>
        <v/>
      </c>
      <c r="C38" s="32" t="str">
        <f>IF('Your Details'!$D$14="","",'Your Details'!$D$14)</f>
        <v/>
      </c>
      <c r="D38" s="77">
        <v>27</v>
      </c>
      <c r="E38" s="78" t="s">
        <v>15</v>
      </c>
      <c r="F38" s="79">
        <v>44892</v>
      </c>
      <c r="G38" s="80">
        <v>0.79166666666666663</v>
      </c>
      <c r="H38" s="81" t="s">
        <v>58</v>
      </c>
      <c r="I38" s="82"/>
      <c r="J38" s="82"/>
      <c r="K38" s="83" t="s">
        <v>56</v>
      </c>
      <c r="L38" s="76" t="str">
        <f t="shared" si="7"/>
        <v/>
      </c>
      <c r="N38" s="87" t="str">
        <f>VLOOKUP(1,AE37:AO40,2,FALSE)</f>
        <v>Spain</v>
      </c>
      <c r="O38" s="88">
        <f>P38+Q38+R38</f>
        <v>0</v>
      </c>
      <c r="P38" s="88">
        <f>VLOOKUP(1,AE37:AO40,3,FALSE)</f>
        <v>0</v>
      </c>
      <c r="Q38" s="88">
        <f>VLOOKUP(1,AE37:AO40,4,FALSE)</f>
        <v>0</v>
      </c>
      <c r="R38" s="88">
        <f>VLOOKUP(1,AE37:AO40,5,FALSE)</f>
        <v>0</v>
      </c>
      <c r="S38" s="88" t="str">
        <f>VLOOKUP(1,AE37:AO40,6,FALSE) &amp; " - " &amp; VLOOKUP(1,AE37:AO40,7,FALSE)</f>
        <v>0 - 0</v>
      </c>
      <c r="T38" s="88">
        <f>P38*3+Q38</f>
        <v>0</v>
      </c>
      <c r="V38" s="46" t="e">
        <f>DATE(2022,11,27)+TIME(5,0,0)+gmt_delta</f>
        <v>#N/A</v>
      </c>
      <c r="W38" s="66" t="str">
        <f t="shared" si="0"/>
        <v/>
      </c>
      <c r="X38" s="66" t="str">
        <f t="shared" si="1"/>
        <v/>
      </c>
      <c r="Y38" s="47">
        <f t="shared" si="2"/>
        <v>0</v>
      </c>
      <c r="Z38" s="46">
        <f t="shared" si="3"/>
        <v>0</v>
      </c>
      <c r="AA38" s="46">
        <f t="shared" si="4"/>
        <v>0</v>
      </c>
      <c r="AB38" s="46">
        <f t="shared" si="5"/>
        <v>0</v>
      </c>
      <c r="AC38" s="46" t="str">
        <f t="shared" si="6"/>
        <v/>
      </c>
      <c r="AE38" s="46">
        <f>COUNTIF(AR37:AR40,CONCATENATE("&gt;=",AR38))</f>
        <v>4</v>
      </c>
      <c r="AF38" s="47" t="str">
        <f>VLOOKUP("Costa Rica",T,lang,FALSE)</f>
        <v>Costa Rica</v>
      </c>
      <c r="AG38" s="46">
        <f>COUNTIF($W$12:$X$59,"=" &amp; AF38 &amp; "_win")</f>
        <v>0</v>
      </c>
      <c r="AH38" s="46">
        <f>COUNTIF($W$12:$X$59,"=" &amp; AF38 &amp; "_draw")</f>
        <v>0</v>
      </c>
      <c r="AI38" s="46">
        <f>COUNTIF($W$12:$X$59,"=" &amp; AF38 &amp; "_lose")</f>
        <v>0</v>
      </c>
      <c r="AJ38" s="46">
        <f>SUMIF($H$12:$H$59,$AF38,$I$12:$I$59) + SUMIF($K$12:$K$59,$AF38,$J$12:$J$59)</f>
        <v>0</v>
      </c>
      <c r="AK38" s="46">
        <f>SUMIF($H$12:$H$59,$AF38,$J$12:$J$59) + SUMIF($K$12:$K$59,$AF38,$I$12:$I$59)</f>
        <v>0</v>
      </c>
      <c r="AL38" s="46">
        <f>(AJ38-AK38)*100+AO38*10000+AJ38</f>
        <v>0</v>
      </c>
      <c r="AM38" s="46">
        <f>AJ38-AK38</f>
        <v>0</v>
      </c>
      <c r="AN38" s="46">
        <f>(AM38-AM42)/AM41</f>
        <v>0</v>
      </c>
      <c r="AO38" s="46">
        <f>AG38*3+AH38</f>
        <v>0</v>
      </c>
      <c r="AP38" s="46">
        <f>AT38/AT41*1000+AU38/AU41*100+AX38/AX41*10+AV38/AV41</f>
        <v>0</v>
      </c>
      <c r="AQ38" s="46">
        <f>VLOOKUP(AF38,db_fifarank,2,FALSE)/2000000</f>
        <v>7.5002999999999995E-4</v>
      </c>
      <c r="AR38" s="47">
        <f>1000*AO38/AO41+100*AN38+10*AJ38/AJ41+1*AP38/AP41+AQ38</f>
        <v>7.5002999999999995E-4</v>
      </c>
      <c r="AS38" s="47" t="str">
        <f>IF(SUM(AG37:AI40)=12,N39,INDEX(T,79,lang))</f>
        <v>2E</v>
      </c>
      <c r="AT38" s="46">
        <f>SUMPRODUCT(($W$12:$W$59=AF38&amp;"_win")*($Y$12:$Y$59))+SUMPRODUCT(($X$12:$X$59=AF38&amp;"_win")*($Y$12:$Y$59))</f>
        <v>0</v>
      </c>
      <c r="AU38" s="46">
        <f>SUMPRODUCT(($W$12:$W$59=AF38&amp;"_draw")*($Y$12:$Y$59))+SUMPRODUCT(($X$12:$X$59=AF38&amp;"_draw")*($Y$12:$Y$59))</f>
        <v>0</v>
      </c>
      <c r="AV38" s="46">
        <f>SUMPRODUCT(($H$12:$H$59=AF38)*($Y$12:$Y$59)*($I$12:$I$59))+SUMPRODUCT(($K$12:$K$59=AF38)*($Y$12:$Y$59)*($J$12:$J$59))</f>
        <v>0</v>
      </c>
      <c r="AW38" s="46">
        <f>SUMPRODUCT(($H$12:$H$59=AF38)*($Y$12:$Y$59)*($J$12:$J$59))+SUMPRODUCT(($K$12:$K$59=AF38)*($Y$12:$Y$59)*($I$12:$I$59))</f>
        <v>0</v>
      </c>
      <c r="AX38" s="46">
        <f>AV38-AW38</f>
        <v>0</v>
      </c>
      <c r="BC38" s="89" t="s">
        <v>196</v>
      </c>
      <c r="BD38" s="89"/>
      <c r="BE38" s="85"/>
      <c r="BF38" s="85"/>
      <c r="BG38" s="98"/>
      <c r="BH38" s="85"/>
      <c r="BI38" s="85"/>
      <c r="BJ38" s="85"/>
      <c r="BK38" s="85"/>
      <c r="BL38" s="85"/>
      <c r="BM38" s="85"/>
      <c r="BN38" s="85"/>
      <c r="BO38" s="97"/>
      <c r="BP38" s="99"/>
      <c r="BQ38" s="195"/>
      <c r="BR38" s="92" t="str">
        <f>X77</f>
        <v>W60</v>
      </c>
      <c r="BS38" s="93"/>
      <c r="BT38" s="94"/>
      <c r="BU38" s="95"/>
      <c r="BV38" s="85"/>
      <c r="BW38" s="85"/>
      <c r="BX38" s="85"/>
      <c r="BY38" s="85"/>
      <c r="BZ38" s="85"/>
      <c r="CA38" s="85"/>
      <c r="CB38" s="85"/>
    </row>
    <row r="39" spans="1:80" ht="15" customHeight="1" x14ac:dyDescent="0.45">
      <c r="A39" s="32" t="str">
        <f>IF('Your Details'!$D$11="","",'Your Details'!$D$11)</f>
        <v/>
      </c>
      <c r="B39" s="32" t="str">
        <f>IF('Your Details'!$D$13="","",'Your Details'!$D$13)</f>
        <v/>
      </c>
      <c r="C39" s="32" t="str">
        <f>IF('Your Details'!$D$14="","",'Your Details'!$D$14)</f>
        <v/>
      </c>
      <c r="D39" s="77">
        <v>28</v>
      </c>
      <c r="E39" s="78" t="s">
        <v>15</v>
      </c>
      <c r="F39" s="79">
        <v>44892</v>
      </c>
      <c r="G39" s="80">
        <v>0.91666666666666663</v>
      </c>
      <c r="H39" s="81" t="s">
        <v>51</v>
      </c>
      <c r="I39" s="82"/>
      <c r="J39" s="82"/>
      <c r="K39" s="83" t="s">
        <v>53</v>
      </c>
      <c r="L39" s="76" t="str">
        <f t="shared" si="7"/>
        <v/>
      </c>
      <c r="N39" s="87" t="str">
        <f>VLOOKUP(2,AE37:AO40,2,FALSE)</f>
        <v>Germany</v>
      </c>
      <c r="O39" s="88">
        <f>P39+Q39+R39</f>
        <v>0</v>
      </c>
      <c r="P39" s="88">
        <f>VLOOKUP(2,AE37:AO40,3,FALSE)</f>
        <v>0</v>
      </c>
      <c r="Q39" s="88">
        <f>VLOOKUP(2,AE37:AO40,4,FALSE)</f>
        <v>0</v>
      </c>
      <c r="R39" s="88">
        <f>VLOOKUP(2,AE37:AO40,5,FALSE)</f>
        <v>0</v>
      </c>
      <c r="S39" s="88" t="str">
        <f>VLOOKUP(2,AE37:AO40,6,FALSE) &amp; " - " &amp; VLOOKUP(2,AE37:AO40,7,FALSE)</f>
        <v>0 - 0</v>
      </c>
      <c r="T39" s="88">
        <f>P39*3+Q39</f>
        <v>0</v>
      </c>
      <c r="V39" s="46" t="e">
        <f>DATE(2022,11,27)+TIME(8,0,0)+gmt_delta</f>
        <v>#N/A</v>
      </c>
      <c r="W39" s="66" t="str">
        <f t="shared" si="0"/>
        <v/>
      </c>
      <c r="X39" s="66" t="str">
        <f t="shared" si="1"/>
        <v/>
      </c>
      <c r="Y39" s="47">
        <f t="shared" si="2"/>
        <v>0</v>
      </c>
      <c r="Z39" s="46">
        <f t="shared" si="3"/>
        <v>0</v>
      </c>
      <c r="AA39" s="46">
        <f t="shared" si="4"/>
        <v>0</v>
      </c>
      <c r="AB39" s="46">
        <f t="shared" si="5"/>
        <v>0</v>
      </c>
      <c r="AC39" s="46" t="str">
        <f t="shared" si="6"/>
        <v/>
      </c>
      <c r="AE39" s="46">
        <f>COUNTIF(AR37:AR40,CONCATENATE("&gt;=",AR39))</f>
        <v>2</v>
      </c>
      <c r="AF39" s="47" t="str">
        <f>VLOOKUP("Germany",T,lang,FALSE)</f>
        <v>Germany</v>
      </c>
      <c r="AG39" s="46">
        <f>COUNTIF($W$12:$X$59,"=" &amp; AF39 &amp; "_win")</f>
        <v>0</v>
      </c>
      <c r="AH39" s="46">
        <f>COUNTIF($W$12:$X$59,"=" &amp; AF39 &amp; "_draw")</f>
        <v>0</v>
      </c>
      <c r="AI39" s="46">
        <f>COUNTIF($W$12:$X$59,"=" &amp; AF39 &amp; "_lose")</f>
        <v>0</v>
      </c>
      <c r="AJ39" s="46">
        <f>SUMIF($H$12:$H$59,$AF39,$I$12:$I$59) + SUMIF($K$12:$K$59,$AF39,$J$12:$J$59)</f>
        <v>0</v>
      </c>
      <c r="AK39" s="46">
        <f>SUMIF($H$12:$H$59,$AF39,$J$12:$J$59) + SUMIF($K$12:$K$59,$AF39,$I$12:$I$59)</f>
        <v>0</v>
      </c>
      <c r="AL39" s="46">
        <f>(AJ39-AK39)*100+AO39*10000+AJ39</f>
        <v>0</v>
      </c>
      <c r="AM39" s="46">
        <f>AJ39-AK39</f>
        <v>0</v>
      </c>
      <c r="AN39" s="46">
        <f>(AM39-AM42)/AM41</f>
        <v>0</v>
      </c>
      <c r="AO39" s="46">
        <f>AG39*3+AH39</f>
        <v>0</v>
      </c>
      <c r="AP39" s="46">
        <f>AT39/AT41*1000+AU39/AU41*100+AX39/AX41*10+AV39/AV41</f>
        <v>0</v>
      </c>
      <c r="AQ39" s="46">
        <f>VLOOKUP(AF39,db_fifarank,2,FALSE)/2000000</f>
        <v>8.2526499999999994E-4</v>
      </c>
      <c r="AR39" s="47">
        <f>1000*AO39/AO41+100*AN39+10*AJ39/AJ41+1*AP39/AP41+AQ39</f>
        <v>8.2526499999999994E-4</v>
      </c>
      <c r="AT39" s="46">
        <f>SUMPRODUCT(($W$12:$W$59=AF39&amp;"_win")*($Y$12:$Y$59))+SUMPRODUCT(($X$12:$X$59=AF39&amp;"_win")*($Y$12:$Y$59))</f>
        <v>0</v>
      </c>
      <c r="AU39" s="46">
        <f>SUMPRODUCT(($W$12:$W$59=AF39&amp;"_draw")*($Y$12:$Y$59))+SUMPRODUCT(($X$12:$X$59=AF39&amp;"_draw")*($Y$12:$Y$59))</f>
        <v>0</v>
      </c>
      <c r="AV39" s="46">
        <f>SUMPRODUCT(($H$12:$H$59=AF39)*($Y$12:$Y$59)*($I$12:$I$59))+SUMPRODUCT(($K$12:$K$59=AF39)*($Y$12:$Y$59)*($J$12:$J$59))</f>
        <v>0</v>
      </c>
      <c r="AW39" s="46">
        <f>SUMPRODUCT(($H$12:$H$59=AF39)*($Y$12:$Y$59)*($J$12:$J$59))+SUMPRODUCT(($K$12:$K$59=AF39)*($Y$12:$Y$59)*($I$12:$I$59))</f>
        <v>0</v>
      </c>
      <c r="AX39" s="46">
        <f>AV39-AW39</f>
        <v>0</v>
      </c>
      <c r="BC39" s="195">
        <v>55</v>
      </c>
      <c r="BD39" s="92" t="str">
        <f>AS43</f>
        <v>1F</v>
      </c>
      <c r="BE39" s="93"/>
      <c r="BF39" s="94"/>
      <c r="BG39" s="95"/>
      <c r="BH39" s="85"/>
      <c r="BI39" s="85"/>
      <c r="BJ39" s="85"/>
      <c r="BK39" s="85"/>
      <c r="BL39" s="85"/>
      <c r="BM39" s="85"/>
      <c r="BN39" s="85"/>
      <c r="BO39" s="97"/>
      <c r="BP39" s="85"/>
      <c r="BQ39" s="85"/>
      <c r="BR39" s="85"/>
      <c r="BS39" s="85"/>
      <c r="BT39" s="85"/>
      <c r="BU39" s="85"/>
      <c r="BV39" s="85"/>
      <c r="BW39" s="85"/>
      <c r="BX39" s="89" t="s">
        <v>197</v>
      </c>
      <c r="BY39" s="85"/>
      <c r="BZ39" s="85"/>
      <c r="CA39" s="85"/>
      <c r="CB39" s="98"/>
    </row>
    <row r="40" spans="1:80" ht="15" customHeight="1" x14ac:dyDescent="0.45">
      <c r="A40" s="32" t="str">
        <f>IF('Your Details'!$D$11="","",'Your Details'!$D$11)</f>
        <v/>
      </c>
      <c r="B40" s="32" t="str">
        <f>IF('Your Details'!$D$13="","",'Your Details'!$D$13)</f>
        <v/>
      </c>
      <c r="C40" s="32" t="str">
        <f>IF('Your Details'!$D$14="","",'Your Details'!$D$14)</f>
        <v/>
      </c>
      <c r="D40" s="77">
        <v>29</v>
      </c>
      <c r="E40" s="78" t="s">
        <v>16</v>
      </c>
      <c r="F40" s="79">
        <v>44893</v>
      </c>
      <c r="G40" s="80">
        <v>0.54166666666666663</v>
      </c>
      <c r="H40" s="81" t="s">
        <v>62</v>
      </c>
      <c r="I40" s="82"/>
      <c r="J40" s="82"/>
      <c r="K40" s="83" t="s">
        <v>60</v>
      </c>
      <c r="L40" s="76" t="str">
        <f t="shared" si="7"/>
        <v/>
      </c>
      <c r="N40" s="87" t="str">
        <f>VLOOKUP(3,AE37:AO40,2,FALSE)</f>
        <v>Japan</v>
      </c>
      <c r="O40" s="88">
        <f>P40+Q40+R40</f>
        <v>0</v>
      </c>
      <c r="P40" s="88">
        <f>VLOOKUP(3,AE37:AO40,3,FALSE)</f>
        <v>0</v>
      </c>
      <c r="Q40" s="88">
        <f>VLOOKUP(3,AE37:AO40,4,FALSE)</f>
        <v>0</v>
      </c>
      <c r="R40" s="88">
        <f>VLOOKUP(3,AE37:AO40,5,FALSE)</f>
        <v>0</v>
      </c>
      <c r="S40" s="88" t="str">
        <f>VLOOKUP(3,AE37:AO40,6,FALSE) &amp; " - " &amp; VLOOKUP(3,AE37:AO40,7,FALSE)</f>
        <v>0 - 0</v>
      </c>
      <c r="T40" s="88">
        <f>P40*3+Q40</f>
        <v>0</v>
      </c>
      <c r="V40" s="46" t="e">
        <f>DATE(2022,11,27)+TIME(23,0,0)+gmt_delta</f>
        <v>#N/A</v>
      </c>
      <c r="W40" s="66" t="str">
        <f t="shared" si="0"/>
        <v/>
      </c>
      <c r="X40" s="66" t="str">
        <f t="shared" si="1"/>
        <v/>
      </c>
      <c r="Y40" s="47">
        <f t="shared" si="2"/>
        <v>0</v>
      </c>
      <c r="Z40" s="46">
        <f t="shared" si="3"/>
        <v>0</v>
      </c>
      <c r="AA40" s="46">
        <f t="shared" si="4"/>
        <v>0</v>
      </c>
      <c r="AB40" s="46">
        <f t="shared" si="5"/>
        <v>0</v>
      </c>
      <c r="AC40" s="46" t="str">
        <f t="shared" si="6"/>
        <v/>
      </c>
      <c r="AE40" s="46">
        <f>COUNTIF(AR37:AR40,CONCATENATE("&gt;=",AR40))</f>
        <v>3</v>
      </c>
      <c r="AF40" s="47" t="str">
        <f>VLOOKUP("Japan",T,lang,FALSE)</f>
        <v>Japan</v>
      </c>
      <c r="AG40" s="46">
        <f>COUNTIF($W$12:$X$59,"=" &amp; AF40 &amp; "_win")</f>
        <v>0</v>
      </c>
      <c r="AH40" s="46">
        <f>COUNTIF($W$12:$X$59,"=" &amp; AF40 &amp; "_draw")</f>
        <v>0</v>
      </c>
      <c r="AI40" s="46">
        <f>COUNTIF($W$12:$X$59,"=" &amp; AF40 &amp; "_lose")</f>
        <v>0</v>
      </c>
      <c r="AJ40" s="46">
        <f>SUMIF($H$12:$H$59,$AF40,$I$12:$I$59) + SUMIF($K$12:$K$59,$AF40,$J$12:$J$59)</f>
        <v>0</v>
      </c>
      <c r="AK40" s="46">
        <f>SUMIF($H$12:$H$59,$AF40,$J$12:$J$59) + SUMIF($K$12:$K$59,$AF40,$I$12:$I$59)</f>
        <v>0</v>
      </c>
      <c r="AL40" s="46">
        <f>(AJ40-AK40)*100+AO40*10000+AJ40</f>
        <v>0</v>
      </c>
      <c r="AM40" s="46">
        <f>AJ40-AK40</f>
        <v>0</v>
      </c>
      <c r="AN40" s="46">
        <f>(AM40-AM42)/AM41</f>
        <v>0</v>
      </c>
      <c r="AO40" s="46">
        <f>AG40*3+AH40</f>
        <v>0</v>
      </c>
      <c r="AP40" s="46">
        <f>AT40/AT41*1000+AU40/AU41*100+AX40/AX41*10+AV40/AV41</f>
        <v>0</v>
      </c>
      <c r="AQ40" s="46">
        <f>VLOOKUP(AF40,db_fifarank,2,FALSE)/2000000</f>
        <v>7.7672000000000006E-4</v>
      </c>
      <c r="AR40" s="47">
        <f>1000*AO40/AO41+100*AN40+10*AJ40/AJ41+1*AP40/AP41+AQ40</f>
        <v>7.7672000000000006E-4</v>
      </c>
      <c r="AT40" s="46">
        <f>SUMPRODUCT(($W$12:$W$59=AF40&amp;"_win")*($Y$12:$Y$59))+SUMPRODUCT(($X$12:$X$59=AF40&amp;"_win")*($Y$12:$Y$59))</f>
        <v>0</v>
      </c>
      <c r="AU40" s="46">
        <f>SUMPRODUCT(($W$12:$W$59=AF40&amp;"_draw")*($Y$12:$Y$59))+SUMPRODUCT(($X$12:$X$59=AF40&amp;"_draw")*($Y$12:$Y$59))</f>
        <v>0</v>
      </c>
      <c r="AV40" s="46">
        <f>SUMPRODUCT(($H$12:$H$59=AF40)*($Y$12:$Y$59)*($I$12:$I$59))+SUMPRODUCT(($K$12:$K$59=AF40)*($Y$12:$Y$59)*($J$12:$J$59))</f>
        <v>0</v>
      </c>
      <c r="AW40" s="46">
        <f>SUMPRODUCT(($H$12:$H$59=AF40)*($Y$12:$Y$59)*($J$12:$J$59))+SUMPRODUCT(($K$12:$K$59=AF40)*($Y$12:$Y$59)*($I$12:$I$59))</f>
        <v>0</v>
      </c>
      <c r="AX40" s="46">
        <f>AV40-AW40</f>
        <v>0</v>
      </c>
      <c r="BC40" s="195"/>
      <c r="BD40" s="92" t="str">
        <f>AS38</f>
        <v>2E</v>
      </c>
      <c r="BE40" s="93"/>
      <c r="BF40" s="94"/>
      <c r="BG40" s="95"/>
      <c r="BH40" s="96"/>
      <c r="BI40" s="85"/>
      <c r="BJ40" s="89" t="s">
        <v>198</v>
      </c>
      <c r="BK40" s="85"/>
      <c r="BL40" s="85"/>
      <c r="BM40" s="85"/>
      <c r="BN40" s="98"/>
      <c r="BO40" s="97"/>
      <c r="BP40" s="85"/>
      <c r="BQ40" s="85"/>
      <c r="BR40" s="85"/>
      <c r="BS40" s="85"/>
      <c r="BT40" s="85"/>
      <c r="BU40" s="85"/>
      <c r="BV40" s="85"/>
      <c r="BW40" s="85"/>
      <c r="BX40" s="195">
        <v>63</v>
      </c>
      <c r="BY40" s="92" t="str">
        <f>AD81</f>
        <v>L61</v>
      </c>
      <c r="BZ40" s="93"/>
      <c r="CA40" s="94"/>
      <c r="CB40" s="95"/>
    </row>
    <row r="41" spans="1:80" ht="15" customHeight="1" x14ac:dyDescent="0.45">
      <c r="A41" s="32" t="str">
        <f>IF('Your Details'!$D$11="","",'Your Details'!$D$11)</f>
        <v/>
      </c>
      <c r="B41" s="32" t="str">
        <f>IF('Your Details'!$D$13="","",'Your Details'!$D$13)</f>
        <v/>
      </c>
      <c r="C41" s="32" t="str">
        <f>IF('Your Details'!$D$14="","",'Your Details'!$D$14)</f>
        <v/>
      </c>
      <c r="D41" s="77">
        <v>30</v>
      </c>
      <c r="E41" s="78" t="s">
        <v>16</v>
      </c>
      <c r="F41" s="79">
        <v>44893</v>
      </c>
      <c r="G41" s="80">
        <v>0.66666666666666663</v>
      </c>
      <c r="H41" s="81" t="s">
        <v>66</v>
      </c>
      <c r="I41" s="82"/>
      <c r="J41" s="82"/>
      <c r="K41" s="83" t="s">
        <v>64</v>
      </c>
      <c r="L41" s="76" t="str">
        <f t="shared" si="7"/>
        <v/>
      </c>
      <c r="N41" s="87" t="str">
        <f>VLOOKUP(4,AE37:AO40,2,FALSE)</f>
        <v>Costa Rica</v>
      </c>
      <c r="O41" s="88">
        <f>P41+Q41+R41</f>
        <v>0</v>
      </c>
      <c r="P41" s="88">
        <f>VLOOKUP(4,AE37:AO40,3,FALSE)</f>
        <v>0</v>
      </c>
      <c r="Q41" s="88">
        <f>VLOOKUP(4,AE37:AO40,4,FALSE)</f>
        <v>0</v>
      </c>
      <c r="R41" s="88">
        <f>VLOOKUP(4,AE37:AO40,5,FALSE)</f>
        <v>0</v>
      </c>
      <c r="S41" s="88" t="str">
        <f>VLOOKUP(4,AE37:AO40,6,FALSE) &amp; " - " &amp; VLOOKUP(4,AE37:AO40,7,FALSE)</f>
        <v>0 - 0</v>
      </c>
      <c r="T41" s="88">
        <f>P41*3+Q41</f>
        <v>0</v>
      </c>
      <c r="V41" s="46" t="e">
        <f>DATE(2022,11,28)+TIME(2,0,0)+gmt_delta</f>
        <v>#N/A</v>
      </c>
      <c r="W41" s="66" t="str">
        <f t="shared" si="0"/>
        <v/>
      </c>
      <c r="X41" s="66" t="str">
        <f t="shared" si="1"/>
        <v/>
      </c>
      <c r="Y41" s="47">
        <f t="shared" si="2"/>
        <v>0</v>
      </c>
      <c r="Z41" s="46">
        <f t="shared" si="3"/>
        <v>0</v>
      </c>
      <c r="AA41" s="46">
        <f t="shared" si="4"/>
        <v>0</v>
      </c>
      <c r="AB41" s="46">
        <f t="shared" si="5"/>
        <v>0</v>
      </c>
      <c r="AC41" s="46" t="str">
        <f t="shared" si="6"/>
        <v/>
      </c>
      <c r="AG41" s="46">
        <f t="shared" ref="AG41:AP41" si="12">MAX(AG37:AG40)-MIN(AG37:AG40)+1</f>
        <v>1</v>
      </c>
      <c r="AH41" s="46">
        <f t="shared" si="12"/>
        <v>1</v>
      </c>
      <c r="AI41" s="46">
        <f t="shared" si="12"/>
        <v>1</v>
      </c>
      <c r="AJ41" s="46">
        <f t="shared" si="12"/>
        <v>1</v>
      </c>
      <c r="AK41" s="46">
        <f t="shared" si="12"/>
        <v>1</v>
      </c>
      <c r="AL41" s="46">
        <f>MAX(AL37:AL40)-AL42+1</f>
        <v>1</v>
      </c>
      <c r="AM41" s="46">
        <f>MAX(AM37:AM40)-AM42+1</f>
        <v>1</v>
      </c>
      <c r="AO41" s="46">
        <f t="shared" si="12"/>
        <v>1</v>
      </c>
      <c r="AP41" s="46">
        <f t="shared" si="12"/>
        <v>1</v>
      </c>
      <c r="AT41" s="46">
        <f>MAX(AT37:AT40)-MIN(AT37:AT40)+1</f>
        <v>1</v>
      </c>
      <c r="AU41" s="46">
        <f>MAX(AU37:AU40)-MIN(AU37:AU40)+1</f>
        <v>1</v>
      </c>
      <c r="AV41" s="46">
        <f>MAX(AV37:AV40)-MIN(AV37:AV40)+1</f>
        <v>1</v>
      </c>
      <c r="AW41" s="46">
        <f>MAX(AW37:AW40)-MIN(AW37:AW40)+1</f>
        <v>1</v>
      </c>
      <c r="AX41" s="46">
        <f>MAX(AX37:AX40)-MIN(AX37:AX40)+1</f>
        <v>1</v>
      </c>
      <c r="BC41" s="85"/>
      <c r="BD41" s="85"/>
      <c r="BE41" s="85"/>
      <c r="BF41" s="85"/>
      <c r="BG41" s="85"/>
      <c r="BH41" s="97"/>
      <c r="BI41" s="85"/>
      <c r="BJ41" s="195">
        <v>60</v>
      </c>
      <c r="BK41" s="92" t="str">
        <f>X69</f>
        <v>W55</v>
      </c>
      <c r="BL41" s="93"/>
      <c r="BM41" s="94"/>
      <c r="BN41" s="95"/>
      <c r="BO41" s="100"/>
      <c r="BP41" s="85"/>
      <c r="BQ41" s="85"/>
      <c r="BR41" s="85"/>
      <c r="BS41" s="85"/>
      <c r="BT41" s="85"/>
      <c r="BU41" s="85"/>
      <c r="BV41" s="85"/>
      <c r="BW41" s="85"/>
      <c r="BX41" s="195"/>
      <c r="BY41" s="92" t="str">
        <f>AD82</f>
        <v>L62</v>
      </c>
      <c r="BZ41" s="93"/>
      <c r="CA41" s="94"/>
      <c r="CB41" s="95"/>
    </row>
    <row r="42" spans="1:80" ht="15" customHeight="1" x14ac:dyDescent="0.45">
      <c r="A42" s="32" t="str">
        <f>IF('Your Details'!$D$11="","",'Your Details'!$D$11)</f>
        <v/>
      </c>
      <c r="B42" s="32" t="str">
        <f>IF('Your Details'!$D$13="","",'Your Details'!$D$13)</f>
        <v/>
      </c>
      <c r="C42" s="32" t="str">
        <f>IF('Your Details'!$D$14="","",'Your Details'!$D$14)</f>
        <v/>
      </c>
      <c r="D42" s="77">
        <v>31</v>
      </c>
      <c r="E42" s="78" t="s">
        <v>16</v>
      </c>
      <c r="F42" s="79">
        <v>44893</v>
      </c>
      <c r="G42" s="80">
        <v>0.79166666666666663</v>
      </c>
      <c r="H42" s="81" t="s">
        <v>59</v>
      </c>
      <c r="I42" s="82"/>
      <c r="J42" s="82"/>
      <c r="K42" s="83" t="s">
        <v>61</v>
      </c>
      <c r="L42" s="76" t="str">
        <f t="shared" si="7"/>
        <v/>
      </c>
      <c r="V42" s="46" t="e">
        <f>DATE(2022,11,28)+TIME(5,0,0)+gmt_delta</f>
        <v>#N/A</v>
      </c>
      <c r="W42" s="66" t="str">
        <f t="shared" si="0"/>
        <v/>
      </c>
      <c r="X42" s="66" t="str">
        <f t="shared" si="1"/>
        <v/>
      </c>
      <c r="Y42" s="47">
        <f t="shared" si="2"/>
        <v>0</v>
      </c>
      <c r="Z42" s="46">
        <f t="shared" si="3"/>
        <v>0</v>
      </c>
      <c r="AA42" s="46">
        <f t="shared" si="4"/>
        <v>0</v>
      </c>
      <c r="AB42" s="46">
        <f t="shared" si="5"/>
        <v>0</v>
      </c>
      <c r="AC42" s="46" t="str">
        <f t="shared" si="6"/>
        <v/>
      </c>
      <c r="AL42" s="46">
        <f>MIN(AL37:AL40)</f>
        <v>0</v>
      </c>
      <c r="AM42" s="46">
        <f>MIN(AM37:AM40)</f>
        <v>0</v>
      </c>
      <c r="BC42" s="89" t="s">
        <v>199</v>
      </c>
      <c r="BD42" s="89"/>
      <c r="BE42" s="85"/>
      <c r="BF42" s="85"/>
      <c r="BG42" s="98"/>
      <c r="BH42" s="97"/>
      <c r="BI42" s="99"/>
      <c r="BJ42" s="195"/>
      <c r="BK42" s="92" t="str">
        <f>X70</f>
        <v>W56</v>
      </c>
      <c r="BL42" s="93"/>
      <c r="BM42" s="94"/>
      <c r="BN42" s="95"/>
      <c r="BO42" s="85"/>
      <c r="BP42" s="85"/>
      <c r="BQ42" s="85"/>
      <c r="BR42" s="85"/>
      <c r="BS42" s="85"/>
      <c r="BT42" s="85"/>
      <c r="BU42" s="85"/>
      <c r="BV42" s="85"/>
      <c r="BW42" s="85"/>
      <c r="BX42" s="85"/>
      <c r="BY42" s="85"/>
      <c r="BZ42" s="85"/>
      <c r="CA42" s="85"/>
      <c r="CB42" s="85"/>
    </row>
    <row r="43" spans="1:80" ht="15" customHeight="1" x14ac:dyDescent="0.45">
      <c r="A43" s="32" t="str">
        <f>IF('Your Details'!$D$11="","",'Your Details'!$D$11)</f>
        <v/>
      </c>
      <c r="B43" s="32" t="str">
        <f>IF('Your Details'!$D$13="","",'Your Details'!$D$13)</f>
        <v/>
      </c>
      <c r="C43" s="32" t="str">
        <f>IF('Your Details'!$D$14="","",'Your Details'!$D$14)</f>
        <v/>
      </c>
      <c r="D43" s="77">
        <v>32</v>
      </c>
      <c r="E43" s="78" t="s">
        <v>16</v>
      </c>
      <c r="F43" s="79">
        <v>44893</v>
      </c>
      <c r="G43" s="80">
        <v>0.91666666666666663</v>
      </c>
      <c r="H43" s="81" t="s">
        <v>63</v>
      </c>
      <c r="I43" s="82"/>
      <c r="J43" s="82"/>
      <c r="K43" s="83" t="s">
        <v>65</v>
      </c>
      <c r="L43" s="76" t="str">
        <f t="shared" si="7"/>
        <v/>
      </c>
      <c r="N43" s="84" t="s">
        <v>200</v>
      </c>
      <c r="O43" s="84" t="s">
        <v>9</v>
      </c>
      <c r="P43" s="84" t="s">
        <v>10</v>
      </c>
      <c r="Q43" s="84" t="s">
        <v>169</v>
      </c>
      <c r="R43" s="84" t="s">
        <v>12</v>
      </c>
      <c r="S43" s="84" t="s">
        <v>13</v>
      </c>
      <c r="T43" s="84" t="s">
        <v>177</v>
      </c>
      <c r="V43" s="46" t="e">
        <f>DATE(2022,11,28)+TIME(8,0,0)+gmt_delta</f>
        <v>#N/A</v>
      </c>
      <c r="W43" s="66" t="str">
        <f t="shared" si="0"/>
        <v/>
      </c>
      <c r="X43" s="66" t="str">
        <f t="shared" si="1"/>
        <v/>
      </c>
      <c r="Y43" s="47">
        <f t="shared" si="2"/>
        <v>0</v>
      </c>
      <c r="Z43" s="46">
        <f t="shared" si="3"/>
        <v>0</v>
      </c>
      <c r="AA43" s="46">
        <f t="shared" si="4"/>
        <v>0</v>
      </c>
      <c r="AB43" s="46">
        <f t="shared" si="5"/>
        <v>0</v>
      </c>
      <c r="AC43" s="46" t="str">
        <f t="shared" si="6"/>
        <v/>
      </c>
      <c r="AE43" s="46">
        <f>COUNTIF(AR43:AR46,CONCATENATE("&gt;=",AR43))</f>
        <v>1</v>
      </c>
      <c r="AF43" s="47" t="str">
        <f>VLOOKUP("Belgium",T,lang,FALSE)</f>
        <v>Belgium</v>
      </c>
      <c r="AG43" s="46">
        <f>COUNTIF($W$12:$X$59,"=" &amp; AF43 &amp; "_win")</f>
        <v>0</v>
      </c>
      <c r="AH43" s="46">
        <f>COUNTIF($W$12:$X$59,"=" &amp; AF43 &amp; "_draw")</f>
        <v>0</v>
      </c>
      <c r="AI43" s="46">
        <f>COUNTIF($W$12:$X$59,"=" &amp; AF43 &amp; "_lose")</f>
        <v>0</v>
      </c>
      <c r="AJ43" s="46">
        <f>SUMIF($H$12:$H$59,$AF43,$I$12:$I$59) + SUMIF($K$12:$K$59,$AF43,$J$12:$J$59)</f>
        <v>0</v>
      </c>
      <c r="AK43" s="46">
        <f>SUMIF($H$12:$H$59,$AF43,$J$12:$J$59) + SUMIF($K$12:$K$59,$AF43,$I$12:$I$59)</f>
        <v>0</v>
      </c>
      <c r="AL43" s="46">
        <f>(AJ43-AK43)*100+AO43*10000+AJ43</f>
        <v>0</v>
      </c>
      <c r="AM43" s="46">
        <f>AJ43-AK43</f>
        <v>0</v>
      </c>
      <c r="AN43" s="46">
        <f>(AM43-AM48)/AM47</f>
        <v>0</v>
      </c>
      <c r="AO43" s="46">
        <f>AG43*3+AH43</f>
        <v>0</v>
      </c>
      <c r="AP43" s="46">
        <f>AT43/AT47*1000+AU43/AU47*100+AX43/AX47*10+AV43/AV47</f>
        <v>0</v>
      </c>
      <c r="AQ43" s="46">
        <f>VLOOKUP(AF43,db_fifarank,2,FALSE)/2000000</f>
        <v>9.1350000000000003E-4</v>
      </c>
      <c r="AR43" s="47">
        <f>1000*AO43/AO47+100*AN43+10*AJ43/AJ47+1*AP43/AP47+AQ43</f>
        <v>9.1350000000000003E-4</v>
      </c>
      <c r="AS43" s="47" t="str">
        <f>IF(SUM(AG43:AI46)=12,N44,INDEX(T,80,lang))</f>
        <v>1F</v>
      </c>
      <c r="AT43" s="46">
        <f>SUMPRODUCT(($W$12:$W$59=AF43&amp;"_win")*($Y$12:$Y$59))+SUMPRODUCT(($X$12:$X$59=AF43&amp;"_win")*($Y$12:$Y$59))</f>
        <v>0</v>
      </c>
      <c r="AU43" s="46">
        <f>SUMPRODUCT(($W$12:$W$59=AF43&amp;"_draw")*($Y$12:$Y$59))+SUMPRODUCT(($X$12:$X$59=AF43&amp;"_draw")*($Y$12:$Y$59))</f>
        <v>0</v>
      </c>
      <c r="AV43" s="46">
        <f>SUMPRODUCT(($H$12:$H$59=AF43)*($Y$12:$Y$59)*($I$12:$I$59))+SUMPRODUCT(($K$12:$K$59=AF43)*($Y$12:$Y$59)*($J$12:$J$59))</f>
        <v>0</v>
      </c>
      <c r="AW43" s="46">
        <f>SUMPRODUCT(($H$12:$H$59=AF43)*($Y$12:$Y$59)*($J$12:$J$59))+SUMPRODUCT(($K$12:$K$59=AF43)*($Y$12:$Y$59)*($I$12:$I$59))</f>
        <v>0</v>
      </c>
      <c r="AX43" s="46">
        <f>AV43-AW43</f>
        <v>0</v>
      </c>
      <c r="BC43" s="195">
        <v>56</v>
      </c>
      <c r="BD43" s="92" t="str">
        <f>AS55</f>
        <v>1H</v>
      </c>
      <c r="BE43" s="93"/>
      <c r="BF43" s="94"/>
      <c r="BG43" s="95"/>
      <c r="BH43" s="100"/>
      <c r="BI43" s="85"/>
      <c r="BO43" s="85"/>
      <c r="BP43" s="85"/>
      <c r="BQ43" s="85"/>
      <c r="BR43" s="85"/>
      <c r="BS43" s="85"/>
      <c r="BT43" s="85"/>
      <c r="BU43" s="85"/>
      <c r="BV43" s="85"/>
      <c r="BW43" s="85"/>
      <c r="BX43" s="85"/>
      <c r="BY43" s="85"/>
      <c r="BZ43" s="85"/>
      <c r="CA43" s="85"/>
      <c r="CB43" s="85"/>
    </row>
    <row r="44" spans="1:80" ht="15" customHeight="1" x14ac:dyDescent="0.45">
      <c r="A44" s="32" t="str">
        <f>IF('Your Details'!$D$11="","",'Your Details'!$D$11)</f>
        <v/>
      </c>
      <c r="B44" s="32" t="str">
        <f>IF('Your Details'!$D$13="","",'Your Details'!$D$13)</f>
        <v/>
      </c>
      <c r="C44" s="32" t="str">
        <f>IF('Your Details'!$D$14="","",'Your Details'!$D$14)</f>
        <v/>
      </c>
      <c r="D44" s="77">
        <v>33</v>
      </c>
      <c r="E44" s="78" t="s">
        <v>17</v>
      </c>
      <c r="F44" s="79">
        <v>44894</v>
      </c>
      <c r="G44" s="80">
        <v>0.75</v>
      </c>
      <c r="H44" s="81" t="s">
        <v>37</v>
      </c>
      <c r="I44" s="82"/>
      <c r="J44" s="82"/>
      <c r="K44" s="83" t="s">
        <v>35</v>
      </c>
      <c r="L44" s="76" t="str">
        <f t="shared" si="7"/>
        <v/>
      </c>
      <c r="N44" s="87" t="str">
        <f>VLOOKUP(1,AE43:AO46,2,FALSE)</f>
        <v>Belgium</v>
      </c>
      <c r="O44" s="88">
        <f>P44+Q44+R44</f>
        <v>0</v>
      </c>
      <c r="P44" s="88">
        <f>VLOOKUP(1,AE43:AO46,3,FALSE)</f>
        <v>0</v>
      </c>
      <c r="Q44" s="88">
        <f>VLOOKUP(1,AE43:AO46,4,FALSE)</f>
        <v>0</v>
      </c>
      <c r="R44" s="88">
        <f>VLOOKUP(1,AE43:AO46,5,FALSE)</f>
        <v>0</v>
      </c>
      <c r="S44" s="88" t="str">
        <f>VLOOKUP(1,AE43:AO46,6,FALSE) &amp; " - " &amp; VLOOKUP(1,AE43:AO46,7,FALSE)</f>
        <v>0 - 0</v>
      </c>
      <c r="T44" s="88">
        <f>P44*3+Q44</f>
        <v>0</v>
      </c>
      <c r="V44" s="46" t="e">
        <f>DATE(2022,11,29)+TIME(4,0,0)+gmt_delta</f>
        <v>#N/A</v>
      </c>
      <c r="W44" s="66" t="str">
        <f t="shared" si="0"/>
        <v/>
      </c>
      <c r="X44" s="66" t="str">
        <f t="shared" si="1"/>
        <v/>
      </c>
      <c r="Y44" s="47">
        <f t="shared" si="2"/>
        <v>0</v>
      </c>
      <c r="Z44" s="46">
        <f t="shared" si="3"/>
        <v>0</v>
      </c>
      <c r="AA44" s="46">
        <f t="shared" si="4"/>
        <v>0</v>
      </c>
      <c r="AB44" s="46">
        <f t="shared" si="5"/>
        <v>0</v>
      </c>
      <c r="AC44" s="46" t="str">
        <f t="shared" si="6"/>
        <v/>
      </c>
      <c r="AE44" s="46">
        <f>COUNTIF(AR43:AR46,CONCATENATE("&gt;=",AR44))</f>
        <v>4</v>
      </c>
      <c r="AF44" s="47" t="str">
        <f>VLOOKUP("Canada",T,lang,FALSE)</f>
        <v>Canada</v>
      </c>
      <c r="AG44" s="46">
        <f>COUNTIF($W$12:$X$59,"=" &amp; AF44 &amp; "_win")</f>
        <v>0</v>
      </c>
      <c r="AH44" s="46">
        <f>COUNTIF($W$12:$X$59,"=" &amp; AF44 &amp; "_draw")</f>
        <v>0</v>
      </c>
      <c r="AI44" s="46">
        <f>COUNTIF($W$12:$X$59,"=" &amp; AF44 &amp; "_lose")</f>
        <v>0</v>
      </c>
      <c r="AJ44" s="46">
        <f>SUMIF($H$12:$H$59,$AF44,$I$12:$I$59) + SUMIF($K$12:$K$59,$AF44,$J$12:$J$59)</f>
        <v>0</v>
      </c>
      <c r="AK44" s="46">
        <f>SUMIF($H$12:$H$59,$AF44,$J$12:$J$59) + SUMIF($K$12:$K$59,$AF44,$I$12:$I$59)</f>
        <v>0</v>
      </c>
      <c r="AL44" s="46">
        <f>(AJ44-AK44)*100+AO44*10000+AJ44</f>
        <v>0</v>
      </c>
      <c r="AM44" s="46">
        <f>AJ44-AK44</f>
        <v>0</v>
      </c>
      <c r="AN44" s="46">
        <f>(AM44-AM48)/AM47</f>
        <v>0</v>
      </c>
      <c r="AO44" s="46">
        <f>AG44*3+AH44</f>
        <v>0</v>
      </c>
      <c r="AP44" s="46">
        <f>AT44/AT47*1000+AU44/AU47*100+AX44/AX47*10+AV44/AV47</f>
        <v>0</v>
      </c>
      <c r="AQ44" s="46">
        <f>VLOOKUP(AF44,db_fifarank,2,FALSE)/2000000</f>
        <v>7.3950000000000003E-4</v>
      </c>
      <c r="AR44" s="47">
        <f>1000*AO44/AO47+100*AN44+10*AJ44/AJ47+1*AP44/AP47+AQ44</f>
        <v>7.3950000000000003E-4</v>
      </c>
      <c r="AS44" s="47" t="str">
        <f>IF(SUM(AG43:AI46)=12,N45,INDEX(T,81,lang))</f>
        <v>2F</v>
      </c>
      <c r="AT44" s="46">
        <f>SUMPRODUCT(($W$12:$W$59=AF44&amp;"_win")*($Y$12:$Y$59))+SUMPRODUCT(($X$12:$X$59=AF44&amp;"_win")*($Y$12:$Y$59))</f>
        <v>0</v>
      </c>
      <c r="AU44" s="46">
        <f>SUMPRODUCT(($W$12:$W$59=AF44&amp;"_draw")*($Y$12:$Y$59))+SUMPRODUCT(($X$12:$X$59=AF44&amp;"_draw")*($Y$12:$Y$59))</f>
        <v>0</v>
      </c>
      <c r="AV44" s="46">
        <f>SUMPRODUCT(($H$12:$H$59=AF44)*($Y$12:$Y$59)*($I$12:$I$59))+SUMPRODUCT(($K$12:$K$59=AF44)*($Y$12:$Y$59)*($J$12:$J$59))</f>
        <v>0</v>
      </c>
      <c r="AW44" s="46">
        <f>SUMPRODUCT(($H$12:$H$59=AF44)*($Y$12:$Y$59)*($J$12:$J$59))+SUMPRODUCT(($K$12:$K$59=AF44)*($Y$12:$Y$59)*($I$12:$I$59))</f>
        <v>0</v>
      </c>
      <c r="AX44" s="46">
        <f>AV44-AW44</f>
        <v>0</v>
      </c>
      <c r="BC44" s="195"/>
      <c r="BD44" s="92" t="str">
        <f>AS50</f>
        <v>2G</v>
      </c>
      <c r="BE44" s="93"/>
      <c r="BF44" s="94"/>
      <c r="BG44" s="95"/>
      <c r="BH44" s="85"/>
      <c r="BI44" s="85"/>
      <c r="BQ44" s="85"/>
      <c r="BR44" s="85"/>
      <c r="BS44" s="85"/>
      <c r="BT44" s="85"/>
      <c r="BU44" s="85"/>
      <c r="BV44" s="85"/>
      <c r="BW44" s="85"/>
      <c r="BX44" s="85"/>
      <c r="BY44" s="85"/>
      <c r="BZ44" s="85"/>
      <c r="CA44" s="85"/>
      <c r="CB44" s="85"/>
    </row>
    <row r="45" spans="1:80" ht="15" customHeight="1" thickBot="1" x14ac:dyDescent="0.5">
      <c r="A45" s="32" t="str">
        <f>IF('Your Details'!$D$11="","",'Your Details'!$D$11)</f>
        <v/>
      </c>
      <c r="B45" s="32" t="str">
        <f>IF('Your Details'!$D$13="","",'Your Details'!$D$13)</f>
        <v/>
      </c>
      <c r="C45" s="32" t="str">
        <f>IF('Your Details'!$D$14="","",'Your Details'!$D$14)</f>
        <v/>
      </c>
      <c r="D45" s="77">
        <v>34</v>
      </c>
      <c r="E45" s="78" t="s">
        <v>17</v>
      </c>
      <c r="F45" s="79">
        <v>44894</v>
      </c>
      <c r="G45" s="80">
        <v>0.75</v>
      </c>
      <c r="H45" s="81" t="s">
        <v>38</v>
      </c>
      <c r="I45" s="82"/>
      <c r="J45" s="82"/>
      <c r="K45" s="83" t="s">
        <v>36</v>
      </c>
      <c r="L45" s="76" t="str">
        <f t="shared" si="7"/>
        <v/>
      </c>
      <c r="N45" s="87" t="str">
        <f>VLOOKUP(2,AE43:AO46,2,FALSE)</f>
        <v>Croatia</v>
      </c>
      <c r="O45" s="88">
        <f>P45+Q45+R45</f>
        <v>0</v>
      </c>
      <c r="P45" s="88">
        <f>VLOOKUP(2,AE43:AO46,3,FALSE)</f>
        <v>0</v>
      </c>
      <c r="Q45" s="88">
        <f>VLOOKUP(2,AE43:AO46,4,FALSE)</f>
        <v>0</v>
      </c>
      <c r="R45" s="88">
        <f>VLOOKUP(2,AE43:AO46,5,FALSE)</f>
        <v>0</v>
      </c>
      <c r="S45" s="88" t="str">
        <f>VLOOKUP(2,AE43:AO46,6,FALSE) &amp; " - " &amp; VLOOKUP(2,AE43:AO46,7,FALSE)</f>
        <v>0 - 0</v>
      </c>
      <c r="T45" s="88">
        <f>P45*3+Q45</f>
        <v>0</v>
      </c>
      <c r="V45" s="46" t="e">
        <f>DATE(2022,11,29)+TIME(4,0,0)+gmt_delta</f>
        <v>#N/A</v>
      </c>
      <c r="W45" s="66" t="str">
        <f t="shared" si="0"/>
        <v/>
      </c>
      <c r="X45" s="66" t="str">
        <f t="shared" si="1"/>
        <v/>
      </c>
      <c r="Y45" s="47">
        <f t="shared" si="2"/>
        <v>0</v>
      </c>
      <c r="Z45" s="46">
        <f t="shared" si="3"/>
        <v>0</v>
      </c>
      <c r="AA45" s="46">
        <f t="shared" si="4"/>
        <v>0</v>
      </c>
      <c r="AB45" s="46">
        <f t="shared" si="5"/>
        <v>0</v>
      </c>
      <c r="AC45" s="46" t="str">
        <f t="shared" si="6"/>
        <v/>
      </c>
      <c r="AE45" s="46">
        <f>COUNTIF(AR43:AR46,CONCATENATE("&gt;=",AR45))</f>
        <v>3</v>
      </c>
      <c r="AF45" s="47" t="str">
        <f>VLOOKUP("Morocco",T,lang,FALSE)</f>
        <v>Morocco</v>
      </c>
      <c r="AG45" s="46">
        <f>COUNTIF($W$12:$X$59,"=" &amp; AF45 &amp; "_win")</f>
        <v>0</v>
      </c>
      <c r="AH45" s="46">
        <f>COUNTIF($W$12:$X$59,"=" &amp; AF45 &amp; "_draw")</f>
        <v>0</v>
      </c>
      <c r="AI45" s="46">
        <f>COUNTIF($W$12:$X$59,"=" &amp; AF45 &amp; "_lose")</f>
        <v>0</v>
      </c>
      <c r="AJ45" s="46">
        <f>SUMIF($H$12:$H$59,$AF45,$I$12:$I$59) + SUMIF($K$12:$K$59,$AF45,$J$12:$J$59)</f>
        <v>0</v>
      </c>
      <c r="AK45" s="46">
        <f>SUMIF($H$12:$H$59,$AF45,$J$12:$J$59) + SUMIF($K$12:$K$59,$AF45,$I$12:$I$59)</f>
        <v>0</v>
      </c>
      <c r="AL45" s="46">
        <f>(AJ45-AK45)*100+AO45*10000+AJ45</f>
        <v>0</v>
      </c>
      <c r="AM45" s="46">
        <f>AJ45-AK45</f>
        <v>0</v>
      </c>
      <c r="AN45" s="46">
        <f>(AM45-AM48)/AM47</f>
        <v>0</v>
      </c>
      <c r="AO45" s="46">
        <f>AG45*3+AH45</f>
        <v>0</v>
      </c>
      <c r="AP45" s="46">
        <f>AT45/AT47*1000+AU45/AU47*100+AX45/AX47*10+AV45/AV47</f>
        <v>0</v>
      </c>
      <c r="AQ45" s="46">
        <f>VLOOKUP(AF45,db_fifarank,2,FALSE)/2000000</f>
        <v>7.7594000000000003E-4</v>
      </c>
      <c r="AR45" s="47">
        <f>1000*AO45/AO47+100*AN45+10*AJ45/AJ47+1*AP45/AP47+AQ45</f>
        <v>7.7594000000000003E-4</v>
      </c>
      <c r="AT45" s="46">
        <f>SUMPRODUCT(($W$12:$W$59=AF45&amp;"_win")*($Y$12:$Y$59))+SUMPRODUCT(($X$12:$X$59=AF45&amp;"_win")*($Y$12:$Y$59))</f>
        <v>0</v>
      </c>
      <c r="AU45" s="46">
        <f>SUMPRODUCT(($W$12:$W$59=AF45&amp;"_draw")*($Y$12:$Y$59))+SUMPRODUCT(($X$12:$X$59=AF45&amp;"_draw")*($Y$12:$Y$59))</f>
        <v>0</v>
      </c>
      <c r="AV45" s="46">
        <f>SUMPRODUCT(($H$12:$H$59=AF45)*($Y$12:$Y$59)*($I$12:$I$59))+SUMPRODUCT(($K$12:$K$59=AF45)*($Y$12:$Y$59)*($J$12:$J$59))</f>
        <v>0</v>
      </c>
      <c r="AW45" s="46">
        <f>SUMPRODUCT(($H$12:$H$59=AF45)*($Y$12:$Y$59)*($J$12:$J$59))+SUMPRODUCT(($K$12:$K$59=AF45)*($Y$12:$Y$59)*($I$12:$I$59))</f>
        <v>0</v>
      </c>
      <c r="AX45" s="46">
        <f>AV45-AW45</f>
        <v>0</v>
      </c>
    </row>
    <row r="46" spans="1:80" ht="15" customHeight="1" x14ac:dyDescent="0.45">
      <c r="A46" s="32" t="str">
        <f>IF('Your Details'!$D$11="","",'Your Details'!$D$11)</f>
        <v/>
      </c>
      <c r="B46" s="32" t="str">
        <f>IF('Your Details'!$D$13="","",'Your Details'!$D$13)</f>
        <v/>
      </c>
      <c r="C46" s="32" t="str">
        <f>IF('Your Details'!$D$14="","",'Your Details'!$D$14)</f>
        <v/>
      </c>
      <c r="D46" s="77">
        <v>35</v>
      </c>
      <c r="E46" s="78" t="s">
        <v>17</v>
      </c>
      <c r="F46" s="79">
        <v>44894</v>
      </c>
      <c r="G46" s="80">
        <v>0.91666666666666663</v>
      </c>
      <c r="H46" s="81" t="s">
        <v>42</v>
      </c>
      <c r="I46" s="82"/>
      <c r="J46" s="82"/>
      <c r="K46" s="83" t="s">
        <v>39</v>
      </c>
      <c r="L46" s="76" t="str">
        <f t="shared" si="7"/>
        <v/>
      </c>
      <c r="N46" s="87" t="str">
        <f>VLOOKUP(3,AE43:AO46,2,FALSE)</f>
        <v>Morocco</v>
      </c>
      <c r="O46" s="88">
        <f>P46+Q46+R46</f>
        <v>0</v>
      </c>
      <c r="P46" s="88">
        <f>VLOOKUP(3,AE43:AO46,3,FALSE)</f>
        <v>0</v>
      </c>
      <c r="Q46" s="88">
        <f>VLOOKUP(3,AE43:AO46,4,FALSE)</f>
        <v>0</v>
      </c>
      <c r="R46" s="88">
        <f>VLOOKUP(3,AE43:AO46,5,FALSE)</f>
        <v>0</v>
      </c>
      <c r="S46" s="88" t="str">
        <f>VLOOKUP(3,AE43:AO46,6,FALSE) &amp; " - " &amp; VLOOKUP(3,AE43:AO46,7,FALSE)</f>
        <v>0 - 0</v>
      </c>
      <c r="T46" s="88">
        <f>P46*3+Q46</f>
        <v>0</v>
      </c>
      <c r="V46" s="46" t="e">
        <f>DATE(2022,11,29)+TIME(8,0,0)+gmt_delta</f>
        <v>#N/A</v>
      </c>
      <c r="W46" s="66" t="str">
        <f t="shared" si="0"/>
        <v/>
      </c>
      <c r="X46" s="66" t="str">
        <f t="shared" si="1"/>
        <v/>
      </c>
      <c r="Y46" s="47">
        <f t="shared" si="2"/>
        <v>0</v>
      </c>
      <c r="Z46" s="46">
        <f t="shared" si="3"/>
        <v>0</v>
      </c>
      <c r="AA46" s="46">
        <f t="shared" si="4"/>
        <v>0</v>
      </c>
      <c r="AB46" s="46">
        <f t="shared" si="5"/>
        <v>0</v>
      </c>
      <c r="AC46" s="46" t="str">
        <f t="shared" si="6"/>
        <v/>
      </c>
      <c r="AE46" s="46">
        <f>COUNTIF(AR43:AR46,CONCATENATE("&gt;=",AR46))</f>
        <v>2</v>
      </c>
      <c r="AF46" s="47" t="str">
        <f>VLOOKUP("Croatia",T,lang,FALSE)</f>
        <v>Croatia</v>
      </c>
      <c r="AG46" s="46">
        <f>COUNTIF($W$12:$X$59,"=" &amp; AF46 &amp; "_win")</f>
        <v>0</v>
      </c>
      <c r="AH46" s="46">
        <f>COUNTIF($W$12:$X$59,"=" &amp; AF46 &amp; "_draw")</f>
        <v>0</v>
      </c>
      <c r="AI46" s="46">
        <f>COUNTIF($W$12:$X$59,"=" &amp; AF46 &amp; "_lose")</f>
        <v>0</v>
      </c>
      <c r="AJ46" s="46">
        <f>SUMIF($H$12:$H$59,$AF46,$I$12:$I$59) + SUMIF($K$12:$K$59,$AF46,$J$12:$J$59)</f>
        <v>0</v>
      </c>
      <c r="AK46" s="46">
        <f>SUMIF($H$12:$H$59,$AF46,$J$12:$J$59) + SUMIF($K$12:$K$59,$AF46,$I$12:$I$59)</f>
        <v>0</v>
      </c>
      <c r="AL46" s="46">
        <f>(AJ46-AK46)*100+AO46*10000+AJ46</f>
        <v>0</v>
      </c>
      <c r="AM46" s="46">
        <f>AJ46-AK46</f>
        <v>0</v>
      </c>
      <c r="AN46" s="46">
        <f>(AM46-AM48)/AM47</f>
        <v>0</v>
      </c>
      <c r="AO46" s="46">
        <f>AG46*3+AH46</f>
        <v>0</v>
      </c>
      <c r="AP46" s="46">
        <f>AT46/AT47*1000+AU46/AU47*100+AX46/AX47*10+AV46/AV47</f>
        <v>0</v>
      </c>
      <c r="AQ46" s="46">
        <f>VLOOKUP(AF46,db_fifarank,2,FALSE)/2000000</f>
        <v>8.1055499999999991E-4</v>
      </c>
      <c r="AR46" s="47">
        <f>1000*AO46/AO47+100*AN46+10*AJ46/AJ47+1*AP46/AP47+AQ46</f>
        <v>8.1055499999999991E-4</v>
      </c>
      <c r="AT46" s="46">
        <f>SUMPRODUCT(($W$12:$W$59=AF46&amp;"_win")*($Y$12:$Y$59))+SUMPRODUCT(($X$12:$X$59=AF46&amp;"_win")*($Y$12:$Y$59))</f>
        <v>0</v>
      </c>
      <c r="AU46" s="46">
        <f>SUMPRODUCT(($W$12:$W$59=AF46&amp;"_draw")*($Y$12:$Y$59))+SUMPRODUCT(($X$12:$X$59=AF46&amp;"_draw")*($Y$12:$Y$59))</f>
        <v>0</v>
      </c>
      <c r="AV46" s="46">
        <f>SUMPRODUCT(($H$12:$H$59=AF46)*($Y$12:$Y$59)*($I$12:$I$59))+SUMPRODUCT(($K$12:$K$59=AF46)*($Y$12:$Y$59)*($J$12:$J$59))</f>
        <v>0</v>
      </c>
      <c r="AW46" s="46">
        <f>SUMPRODUCT(($H$12:$H$59=AF46)*($Y$12:$Y$59)*($J$12:$J$59))+SUMPRODUCT(($K$12:$K$59=AF46)*($Y$12:$Y$59)*($I$12:$I$59))</f>
        <v>0</v>
      </c>
      <c r="AX46" s="46">
        <f>AV46-AW46</f>
        <v>0</v>
      </c>
      <c r="BP46" s="196" t="s">
        <v>99</v>
      </c>
      <c r="BQ46" s="196"/>
      <c r="BR46" s="196"/>
      <c r="BS46" s="196"/>
      <c r="BT46" s="196"/>
      <c r="BU46" s="196"/>
      <c r="BV46" s="198" t="str">
        <f>W90</f>
        <v/>
      </c>
      <c r="BW46" s="198"/>
      <c r="BX46" s="198"/>
      <c r="BY46" s="198"/>
      <c r="BZ46" s="198"/>
      <c r="CA46" s="198"/>
      <c r="CB46" s="198"/>
    </row>
    <row r="47" spans="1:80" ht="15" customHeight="1" x14ac:dyDescent="0.45">
      <c r="A47" s="32" t="str">
        <f>IF('Your Details'!$D$11="","",'Your Details'!$D$11)</f>
        <v/>
      </c>
      <c r="B47" s="32" t="str">
        <f>IF('Your Details'!$D$13="","",'Your Details'!$D$13)</f>
        <v/>
      </c>
      <c r="C47" s="32" t="str">
        <f>IF('Your Details'!$D$14="","",'Your Details'!$D$14)</f>
        <v/>
      </c>
      <c r="D47" s="77">
        <v>36</v>
      </c>
      <c r="E47" s="78" t="s">
        <v>17</v>
      </c>
      <c r="F47" s="79">
        <v>44894</v>
      </c>
      <c r="G47" s="80">
        <v>0.91666666666666663</v>
      </c>
      <c r="H47" s="81" t="s">
        <v>40</v>
      </c>
      <c r="I47" s="82"/>
      <c r="J47" s="82"/>
      <c r="K47" s="83" t="s">
        <v>41</v>
      </c>
      <c r="L47" s="76" t="str">
        <f t="shared" si="7"/>
        <v/>
      </c>
      <c r="N47" s="87" t="str">
        <f>VLOOKUP(4,AE43:AO46,2,FALSE)</f>
        <v>Canada</v>
      </c>
      <c r="O47" s="88">
        <f>P47+Q47+R47</f>
        <v>0</v>
      </c>
      <c r="P47" s="88">
        <f>VLOOKUP(4,AE43:AO46,3,FALSE)</f>
        <v>0</v>
      </c>
      <c r="Q47" s="88">
        <f>VLOOKUP(4,AE43:AO46,4,FALSE)</f>
        <v>0</v>
      </c>
      <c r="R47" s="88">
        <f>VLOOKUP(4,AE43:AO46,5,FALSE)</f>
        <v>0</v>
      </c>
      <c r="S47" s="88" t="str">
        <f>VLOOKUP(4,AE43:AO46,6,FALSE) &amp; " - " &amp; VLOOKUP(4,AE43:AO46,7,FALSE)</f>
        <v>0 - 0</v>
      </c>
      <c r="T47" s="88">
        <f>P47*3+Q47</f>
        <v>0</v>
      </c>
      <c r="V47" s="46" t="e">
        <f>DATE(2022,11,29)+TIME(8,0,0)+gmt_delta</f>
        <v>#N/A</v>
      </c>
      <c r="W47" s="66" t="str">
        <f t="shared" si="0"/>
        <v/>
      </c>
      <c r="X47" s="66" t="str">
        <f t="shared" si="1"/>
        <v/>
      </c>
      <c r="Y47" s="47">
        <f t="shared" si="2"/>
        <v>0</v>
      </c>
      <c r="Z47" s="46">
        <f t="shared" si="3"/>
        <v>0</v>
      </c>
      <c r="AA47" s="46">
        <f t="shared" si="4"/>
        <v>0</v>
      </c>
      <c r="AB47" s="46">
        <f t="shared" si="5"/>
        <v>0</v>
      </c>
      <c r="AC47" s="46" t="str">
        <f t="shared" si="6"/>
        <v/>
      </c>
      <c r="AG47" s="46">
        <f t="shared" ref="AG47:AP47" si="13">MAX(AG43:AG46)-MIN(AG43:AG46)+1</f>
        <v>1</v>
      </c>
      <c r="AH47" s="46">
        <f t="shared" si="13"/>
        <v>1</v>
      </c>
      <c r="AI47" s="46">
        <f t="shared" si="13"/>
        <v>1</v>
      </c>
      <c r="AJ47" s="46">
        <f t="shared" si="13"/>
        <v>1</v>
      </c>
      <c r="AK47" s="46">
        <f t="shared" si="13"/>
        <v>1</v>
      </c>
      <c r="AL47" s="46">
        <f>MAX(AL43:AL46)-AL48+1</f>
        <v>1</v>
      </c>
      <c r="AM47" s="46">
        <f>MAX(AM43:AM46)-AM48+1</f>
        <v>1</v>
      </c>
      <c r="AO47" s="46">
        <f t="shared" si="13"/>
        <v>1</v>
      </c>
      <c r="AP47" s="46">
        <f t="shared" si="13"/>
        <v>1</v>
      </c>
      <c r="AT47" s="46">
        <f>MAX(AT43:AT46)-MIN(AT43:AT46)+1</f>
        <v>1</v>
      </c>
      <c r="AU47" s="46">
        <f>MAX(AU43:AU46)-MIN(AU43:AU46)+1</f>
        <v>1</v>
      </c>
      <c r="AV47" s="46">
        <f>MAX(AV43:AV46)-MIN(AV43:AV46)+1</f>
        <v>1</v>
      </c>
      <c r="AW47" s="46">
        <f>MAX(AW43:AW46)-MIN(AW43:AW46)+1</f>
        <v>1</v>
      </c>
      <c r="AX47" s="46">
        <f>MAX(AX43:AX46)-MIN(AX43:AX46)+1</f>
        <v>1</v>
      </c>
      <c r="BC47" s="200" t="s">
        <v>201</v>
      </c>
      <c r="BD47" s="200"/>
      <c r="BE47" s="200"/>
      <c r="BF47" s="200"/>
      <c r="BG47" s="200"/>
      <c r="BP47" s="197"/>
      <c r="BQ47" s="197"/>
      <c r="BR47" s="197"/>
      <c r="BS47" s="197"/>
      <c r="BT47" s="197"/>
      <c r="BU47" s="197"/>
      <c r="BV47" s="199"/>
      <c r="BW47" s="199"/>
      <c r="BX47" s="199"/>
      <c r="BY47" s="199"/>
      <c r="BZ47" s="199"/>
      <c r="CA47" s="199"/>
      <c r="CB47" s="199"/>
    </row>
    <row r="48" spans="1:80" ht="15" customHeight="1" thickBot="1" x14ac:dyDescent="0.5">
      <c r="A48" s="32" t="str">
        <f>IF('Your Details'!$D$11="","",'Your Details'!$D$11)</f>
        <v/>
      </c>
      <c r="B48" s="32" t="str">
        <f>IF('Your Details'!$D$13="","",'Your Details'!$D$13)</f>
        <v/>
      </c>
      <c r="C48" s="32" t="str">
        <f>IF('Your Details'!$D$14="","",'Your Details'!$D$14)</f>
        <v/>
      </c>
      <c r="D48" s="77">
        <v>37</v>
      </c>
      <c r="E48" s="78" t="s">
        <v>18</v>
      </c>
      <c r="F48" s="79">
        <v>44895</v>
      </c>
      <c r="G48" s="80">
        <v>0.75</v>
      </c>
      <c r="H48" s="81" t="s">
        <v>48</v>
      </c>
      <c r="I48" s="82"/>
      <c r="J48" s="82"/>
      <c r="K48" s="83" t="s">
        <v>49</v>
      </c>
      <c r="L48" s="76" t="str">
        <f t="shared" si="7"/>
        <v/>
      </c>
      <c r="V48" s="46" t="e">
        <f>DATE(2022,11,30)+TIME(4,0,0)+gmt_delta</f>
        <v>#N/A</v>
      </c>
      <c r="W48" s="66" t="str">
        <f t="shared" si="0"/>
        <v/>
      </c>
      <c r="X48" s="66" t="str">
        <f t="shared" si="1"/>
        <v/>
      </c>
      <c r="Y48" s="47">
        <f t="shared" si="2"/>
        <v>0</v>
      </c>
      <c r="Z48" s="46">
        <f t="shared" si="3"/>
        <v>0</v>
      </c>
      <c r="AA48" s="46">
        <f t="shared" si="4"/>
        <v>0</v>
      </c>
      <c r="AB48" s="46">
        <f t="shared" si="5"/>
        <v>0</v>
      </c>
      <c r="AC48" s="46" t="str">
        <f t="shared" si="6"/>
        <v/>
      </c>
      <c r="AL48" s="46">
        <f>MIN(AL43:AL46)</f>
        <v>0</v>
      </c>
      <c r="AM48" s="46">
        <f>MIN(AM43:AM46)</f>
        <v>0</v>
      </c>
      <c r="BC48" s="200"/>
      <c r="BD48" s="200"/>
      <c r="BE48" s="200"/>
      <c r="BF48" s="200"/>
      <c r="BG48" s="200"/>
    </row>
    <row r="49" spans="1:80" ht="15" customHeight="1" x14ac:dyDescent="0.45">
      <c r="A49" s="32" t="str">
        <f>IF('Your Details'!$D$11="","",'Your Details'!$D$11)</f>
        <v/>
      </c>
      <c r="B49" s="32" t="str">
        <f>IF('Your Details'!$D$13="","",'Your Details'!$D$13)</f>
        <v/>
      </c>
      <c r="C49" s="32" t="str">
        <f>IF('Your Details'!$D$14="","",'Your Details'!$D$14)</f>
        <v/>
      </c>
      <c r="D49" s="77">
        <v>38</v>
      </c>
      <c r="E49" s="78" t="s">
        <v>18</v>
      </c>
      <c r="F49" s="79">
        <v>44895</v>
      </c>
      <c r="G49" s="80">
        <v>0.75</v>
      </c>
      <c r="H49" s="81" t="s">
        <v>50</v>
      </c>
      <c r="I49" s="82"/>
      <c r="J49" s="82"/>
      <c r="K49" s="83" t="s">
        <v>47</v>
      </c>
      <c r="L49" s="76" t="str">
        <f t="shared" si="7"/>
        <v/>
      </c>
      <c r="N49" s="84" t="s">
        <v>202</v>
      </c>
      <c r="O49" s="84" t="s">
        <v>9</v>
      </c>
      <c r="P49" s="84" t="s">
        <v>10</v>
      </c>
      <c r="Q49" s="84" t="s">
        <v>169</v>
      </c>
      <c r="R49" s="84" t="s">
        <v>12</v>
      </c>
      <c r="S49" s="84" t="s">
        <v>13</v>
      </c>
      <c r="T49" s="84" t="s">
        <v>177</v>
      </c>
      <c r="V49" s="46" t="e">
        <f>DATE(2022,11,30)+TIME(4,0,0)+gmt_delta</f>
        <v>#N/A</v>
      </c>
      <c r="W49" s="66" t="str">
        <f t="shared" si="0"/>
        <v/>
      </c>
      <c r="X49" s="66" t="str">
        <f t="shared" si="1"/>
        <v/>
      </c>
      <c r="Y49" s="47">
        <f t="shared" si="2"/>
        <v>0</v>
      </c>
      <c r="Z49" s="46">
        <f t="shared" si="3"/>
        <v>0</v>
      </c>
      <c r="AA49" s="46">
        <f t="shared" si="4"/>
        <v>0</v>
      </c>
      <c r="AB49" s="46">
        <f t="shared" si="5"/>
        <v>0</v>
      </c>
      <c r="AC49" s="46" t="str">
        <f t="shared" si="6"/>
        <v/>
      </c>
      <c r="AE49" s="46">
        <f>COUNTIF(AR49:AR52,CONCATENATE("&gt;=",AR49))</f>
        <v>1</v>
      </c>
      <c r="AF49" s="47" t="str">
        <f>VLOOKUP("Brazil",T,lang,FALSE)</f>
        <v>Brazil</v>
      </c>
      <c r="AG49" s="46">
        <f>COUNTIF($W$12:$X$59,"=" &amp; AF49 &amp; "_win")</f>
        <v>0</v>
      </c>
      <c r="AH49" s="46">
        <f>COUNTIF($W$12:$X$59,"=" &amp; AF49 &amp; "_draw")</f>
        <v>0</v>
      </c>
      <c r="AI49" s="46">
        <f>COUNTIF($W$12:$X$59,"=" &amp; AF49 &amp; "_lose")</f>
        <v>0</v>
      </c>
      <c r="AJ49" s="46">
        <f>SUMIF($H$12:$H$59,$AF49,$I$12:$I$59) + SUMIF($K$12:$K$59,$AF49,$J$12:$J$59)</f>
        <v>0</v>
      </c>
      <c r="AK49" s="46">
        <f>SUMIF($H$12:$H$59,$AF49,$J$12:$J$59) + SUMIF($K$12:$K$59,$AF49,$I$12:$I$59)</f>
        <v>0</v>
      </c>
      <c r="AL49" s="46">
        <f>(AJ49-AK49)*100+AO49*10000+AJ49</f>
        <v>0</v>
      </c>
      <c r="AM49" s="46">
        <f>AJ49-AK49</f>
        <v>0</v>
      </c>
      <c r="AN49" s="46">
        <f>(AM49-AM54)/AM53</f>
        <v>0</v>
      </c>
      <c r="AO49" s="46">
        <f>AG49*3+AH49</f>
        <v>0</v>
      </c>
      <c r="AP49" s="46">
        <f>AT49/AT53*1000+AU49/AU53*100+AX49/AX53*10+AV49/AV53</f>
        <v>0</v>
      </c>
      <c r="AQ49" s="46">
        <f>VLOOKUP(AF49,db_fifarank,2,FALSE)/2000000</f>
        <v>9.1634500000000005E-4</v>
      </c>
      <c r="AR49" s="47">
        <f>1000*AO49/AO53+100*AN49+10*AJ49/AJ53+1*AP49/AP53+AQ49</f>
        <v>9.1634500000000005E-4</v>
      </c>
      <c r="AS49" s="47" t="str">
        <f>IF(SUM(AG49:AI52)=12,N50,INDEX(T,82,lang))</f>
        <v>1G</v>
      </c>
      <c r="AT49" s="46">
        <f>SUMPRODUCT(($W$12:$W$59=AF49&amp;"_win")*($Y$12:$Y$59))+SUMPRODUCT(($X$12:$X$59=AF49&amp;"_win")*($Y$12:$Y$59))</f>
        <v>0</v>
      </c>
      <c r="AU49" s="46">
        <f>SUMPRODUCT(($W$12:$W$59=AF49&amp;"_draw")*($Y$12:$Y$59))+SUMPRODUCT(($X$12:$X$59=AF49&amp;"_draw")*($Y$12:$Y$59))</f>
        <v>0</v>
      </c>
      <c r="AV49" s="46">
        <f>SUMPRODUCT(($H$12:$H$59=AF49)*($Y$12:$Y$59)*($I$12:$I$59))+SUMPRODUCT(($K$12:$K$59=AF49)*($Y$12:$Y$59)*($J$12:$J$59))</f>
        <v>0</v>
      </c>
      <c r="AW49" s="46">
        <f>SUMPRODUCT(($H$12:$H$59=AF49)*($Y$12:$Y$59)*($J$12:$J$59))+SUMPRODUCT(($K$12:$K$59=AF49)*($Y$12:$Y$59)*($I$12:$I$59))</f>
        <v>0</v>
      </c>
      <c r="AX49" s="46">
        <f>AV49-AW49</f>
        <v>0</v>
      </c>
      <c r="BC49" s="200"/>
      <c r="BD49" s="200"/>
      <c r="BE49" s="200"/>
      <c r="BF49" s="200"/>
      <c r="BG49" s="200"/>
      <c r="BP49" s="196" t="s">
        <v>203</v>
      </c>
      <c r="BQ49" s="196"/>
      <c r="BR49" s="196"/>
      <c r="BS49" s="196"/>
      <c r="BT49" s="196"/>
      <c r="BU49" s="196"/>
      <c r="BV49" s="201" t="str">
        <f>IF(SUM(BZ28:CB28)&lt;SUM(BZ29:CB29),BY28,IF(SUM(BZ29:CB29)&lt;SUM(BZ28:CB28),BY29,""))</f>
        <v/>
      </c>
      <c r="BW49" s="201"/>
      <c r="BX49" s="201"/>
      <c r="BY49" s="201"/>
      <c r="BZ49" s="201"/>
      <c r="CA49" s="201"/>
      <c r="CB49" s="201"/>
    </row>
    <row r="50" spans="1:80" ht="15" customHeight="1" x14ac:dyDescent="0.45">
      <c r="A50" s="32" t="str">
        <f>IF('Your Details'!$D$11="","",'Your Details'!$D$11)</f>
        <v/>
      </c>
      <c r="B50" s="32" t="str">
        <f>IF('Your Details'!$D$13="","",'Your Details'!$D$13)</f>
        <v/>
      </c>
      <c r="C50" s="32" t="str">
        <f>IF('Your Details'!$D$14="","",'Your Details'!$D$14)</f>
        <v/>
      </c>
      <c r="D50" s="77">
        <v>39</v>
      </c>
      <c r="E50" s="78" t="s">
        <v>18</v>
      </c>
      <c r="F50" s="79">
        <v>44895</v>
      </c>
      <c r="G50" s="80">
        <v>0.91666666666666663</v>
      </c>
      <c r="H50" s="81" t="s">
        <v>46</v>
      </c>
      <c r="I50" s="82"/>
      <c r="J50" s="82"/>
      <c r="K50" s="83" t="s">
        <v>43</v>
      </c>
      <c r="L50" s="76" t="str">
        <f t="shared" si="7"/>
        <v/>
      </c>
      <c r="N50" s="87" t="str">
        <f>VLOOKUP(1,AE49:AO52,2,FALSE)</f>
        <v>Brazil</v>
      </c>
      <c r="O50" s="88">
        <f>P50+Q50+R50</f>
        <v>0</v>
      </c>
      <c r="P50" s="88">
        <f>VLOOKUP(1,AE49:AO52,3,FALSE)</f>
        <v>0</v>
      </c>
      <c r="Q50" s="88">
        <f>VLOOKUP(1,AE49:AO52,4,FALSE)</f>
        <v>0</v>
      </c>
      <c r="R50" s="88">
        <f>VLOOKUP(1,AE49:AO52,5,FALSE)</f>
        <v>0</v>
      </c>
      <c r="S50" s="88" t="str">
        <f>VLOOKUP(1,AE49:AO52,6,FALSE) &amp; " - " &amp; VLOOKUP(1,AE49:AO52,7,FALSE)</f>
        <v>0 - 0</v>
      </c>
      <c r="T50" s="88">
        <f>P50*3+Q50</f>
        <v>0</v>
      </c>
      <c r="V50" s="46" t="e">
        <f>DATE(2022,11,30)+TIME(8,0,0)+gmt_delta</f>
        <v>#N/A</v>
      </c>
      <c r="W50" s="66" t="str">
        <f t="shared" si="0"/>
        <v/>
      </c>
      <c r="X50" s="66" t="str">
        <f t="shared" si="1"/>
        <v/>
      </c>
      <c r="Y50" s="47">
        <f t="shared" si="2"/>
        <v>0</v>
      </c>
      <c r="Z50" s="46">
        <f t="shared" si="3"/>
        <v>0</v>
      </c>
      <c r="AA50" s="46">
        <f t="shared" si="4"/>
        <v>0</v>
      </c>
      <c r="AB50" s="46">
        <f t="shared" si="5"/>
        <v>0</v>
      </c>
      <c r="AC50" s="46" t="str">
        <f t="shared" si="6"/>
        <v/>
      </c>
      <c r="AE50" s="46">
        <f>COUNTIF(AR49:AR52,CONCATENATE("&gt;=",AR50))</f>
        <v>3</v>
      </c>
      <c r="AF50" s="47" t="str">
        <f>VLOOKUP("Serbia",T,lang,FALSE)</f>
        <v>Serbia</v>
      </c>
      <c r="AG50" s="46">
        <f>COUNTIF($W$12:$X$59,"=" &amp; AF50 &amp; "_win")</f>
        <v>0</v>
      </c>
      <c r="AH50" s="46">
        <f>COUNTIF($W$12:$X$59,"=" &amp; AF50 &amp; "_draw")</f>
        <v>0</v>
      </c>
      <c r="AI50" s="46">
        <f>COUNTIF($W$12:$X$59,"=" &amp; AF50 &amp; "_lose")</f>
        <v>0</v>
      </c>
      <c r="AJ50" s="46">
        <f>SUMIF($H$12:$H$59,$AF50,$I$12:$I$59) + SUMIF($K$12:$K$59,$AF50,$J$12:$J$59)</f>
        <v>0</v>
      </c>
      <c r="AK50" s="46">
        <f>SUMIF($H$12:$H$59,$AF50,$J$12:$J$59) + SUMIF($K$12:$K$59,$AF50,$I$12:$I$59)</f>
        <v>0</v>
      </c>
      <c r="AL50" s="46">
        <f>(AJ50-AK50)*100+AO50*10000+AJ50</f>
        <v>0</v>
      </c>
      <c r="AM50" s="46">
        <f>AJ50-AK50</f>
        <v>0</v>
      </c>
      <c r="AN50" s="46">
        <f>(AM50-AM54)/AM53</f>
        <v>0</v>
      </c>
      <c r="AO50" s="46">
        <f>AG50*3+AH50</f>
        <v>0</v>
      </c>
      <c r="AP50" s="46">
        <f>AT50/AT53*1000+AU50/AU53*100+AX50/AX53*10+AV50/AV53</f>
        <v>0</v>
      </c>
      <c r="AQ50" s="46">
        <f>VLOOKUP(AF50,db_fifarank,2,FALSE)/2000000</f>
        <v>7.7376499999999993E-4</v>
      </c>
      <c r="AR50" s="47">
        <f>1000*AO50/AO53+100*AN50+10*AJ50/AJ53+1*AP50/AP53+AQ50</f>
        <v>7.7376499999999993E-4</v>
      </c>
      <c r="AS50" s="47" t="str">
        <f>IF(SUM(AG49:AI52)=12,N51,INDEX(T,83,lang))</f>
        <v>2G</v>
      </c>
      <c r="AT50" s="46">
        <f>SUMPRODUCT(($W$12:$W$59=AF50&amp;"_win")*($Y$12:$Y$59))+SUMPRODUCT(($X$12:$X$59=AF50&amp;"_win")*($Y$12:$Y$59))</f>
        <v>0</v>
      </c>
      <c r="AU50" s="46">
        <f>SUMPRODUCT(($W$12:$W$59=AF50&amp;"_draw")*($Y$12:$Y$59))+SUMPRODUCT(($X$12:$X$59=AF50&amp;"_draw")*($Y$12:$Y$59))</f>
        <v>0</v>
      </c>
      <c r="AV50" s="46">
        <f>SUMPRODUCT(($H$12:$H$59=AF50)*($Y$12:$Y$59)*($I$12:$I$59))+SUMPRODUCT(($K$12:$K$59=AF50)*($Y$12:$Y$59)*($J$12:$J$59))</f>
        <v>0</v>
      </c>
      <c r="AW50" s="46">
        <f>SUMPRODUCT(($H$12:$H$59=AF50)*($Y$12:$Y$59)*($J$12:$J$59))+SUMPRODUCT(($K$12:$K$59=AF50)*($Y$12:$Y$59)*($I$12:$I$59))</f>
        <v>0</v>
      </c>
      <c r="AX50" s="46">
        <f>AV50-AW50</f>
        <v>0</v>
      </c>
      <c r="BP50" s="197"/>
      <c r="BQ50" s="197"/>
      <c r="BR50" s="197"/>
      <c r="BS50" s="197"/>
      <c r="BT50" s="197"/>
      <c r="BU50" s="197"/>
      <c r="BV50" s="202"/>
      <c r="BW50" s="202"/>
      <c r="BX50" s="202"/>
      <c r="BY50" s="202"/>
      <c r="BZ50" s="202"/>
      <c r="CA50" s="202"/>
      <c r="CB50" s="202"/>
    </row>
    <row r="51" spans="1:80" ht="15" customHeight="1" thickBot="1" x14ac:dyDescent="0.5">
      <c r="A51" s="32" t="str">
        <f>IF('Your Details'!$D$11="","",'Your Details'!$D$11)</f>
        <v/>
      </c>
      <c r="B51" s="32" t="str">
        <f>IF('Your Details'!$D$13="","",'Your Details'!$D$13)</f>
        <v/>
      </c>
      <c r="C51" s="32" t="str">
        <f>IF('Your Details'!$D$14="","",'Your Details'!$D$14)</f>
        <v/>
      </c>
      <c r="D51" s="86">
        <v>40</v>
      </c>
      <c r="E51" s="78" t="s">
        <v>18</v>
      </c>
      <c r="F51" s="79">
        <v>44895</v>
      </c>
      <c r="G51" s="80">
        <v>0.91666666666666663</v>
      </c>
      <c r="H51" s="81" t="s">
        <v>44</v>
      </c>
      <c r="I51" s="82"/>
      <c r="J51" s="82"/>
      <c r="K51" s="83" t="s">
        <v>45</v>
      </c>
      <c r="L51" s="76" t="str">
        <f t="shared" si="7"/>
        <v/>
      </c>
      <c r="N51" s="87" t="str">
        <f>VLOOKUP(2,AE49:AO52,2,FALSE)</f>
        <v>Switzerland</v>
      </c>
      <c r="O51" s="88">
        <f>P51+Q51+R51</f>
        <v>0</v>
      </c>
      <c r="P51" s="88">
        <f>VLOOKUP(2,AE49:AO52,3,FALSE)</f>
        <v>0</v>
      </c>
      <c r="Q51" s="88">
        <f>VLOOKUP(2,AE49:AO52,4,FALSE)</f>
        <v>0</v>
      </c>
      <c r="R51" s="88">
        <f>VLOOKUP(2,AE49:AO52,5,FALSE)</f>
        <v>0</v>
      </c>
      <c r="S51" s="88" t="str">
        <f>VLOOKUP(2,AE49:AO52,6,FALSE) &amp; " - " &amp; VLOOKUP(2,AE49:AO52,7,FALSE)</f>
        <v>0 - 0</v>
      </c>
      <c r="T51" s="88">
        <f>P51*3+Q51</f>
        <v>0</v>
      </c>
      <c r="V51" s="46" t="e">
        <f>DATE(2022,11,30)+TIME(8,0,0)+gmt_delta</f>
        <v>#N/A</v>
      </c>
      <c r="W51" s="66" t="str">
        <f t="shared" si="0"/>
        <v/>
      </c>
      <c r="X51" s="66" t="str">
        <f t="shared" si="1"/>
        <v/>
      </c>
      <c r="Y51" s="47">
        <f t="shared" si="2"/>
        <v>0</v>
      </c>
      <c r="Z51" s="46">
        <f t="shared" si="3"/>
        <v>0</v>
      </c>
      <c r="AA51" s="46">
        <f t="shared" si="4"/>
        <v>0</v>
      </c>
      <c r="AB51" s="46">
        <f t="shared" si="5"/>
        <v>0</v>
      </c>
      <c r="AC51" s="46" t="str">
        <f t="shared" si="6"/>
        <v/>
      </c>
      <c r="AE51" s="46">
        <f>COUNTIF(AR49:AR52,CONCATENATE("&gt;=",AR51))</f>
        <v>2</v>
      </c>
      <c r="AF51" s="47" t="str">
        <f>VLOOKUP("Switzerland",T,lang,FALSE)</f>
        <v>Switzerland</v>
      </c>
      <c r="AG51" s="46">
        <f>COUNTIF($W$12:$X$59,"=" &amp; AF51 &amp; "_win")</f>
        <v>0</v>
      </c>
      <c r="AH51" s="46">
        <f>COUNTIF($W$12:$X$59,"=" &amp; AF51 &amp; "_draw")</f>
        <v>0</v>
      </c>
      <c r="AI51" s="46">
        <f>COUNTIF($W$12:$X$59,"=" &amp; AF51 &amp; "_lose")</f>
        <v>0</v>
      </c>
      <c r="AJ51" s="46">
        <f>SUMIF($H$12:$H$59,$AF51,$I$12:$I$59) + SUMIF($K$12:$K$59,$AF51,$J$12:$J$59)</f>
        <v>0</v>
      </c>
      <c r="AK51" s="46">
        <f>SUMIF($H$12:$H$59,$AF51,$J$12:$J$59) + SUMIF($K$12:$K$59,$AF51,$I$12:$I$59)</f>
        <v>0</v>
      </c>
      <c r="AL51" s="46">
        <f>(AJ51-AK51)*100+AO51*10000+AJ51</f>
        <v>0</v>
      </c>
      <c r="AM51" s="46">
        <f>AJ51-AK51</f>
        <v>0</v>
      </c>
      <c r="AN51" s="46">
        <f>(AM51-AM54)/AM53</f>
        <v>0</v>
      </c>
      <c r="AO51" s="46">
        <f>AG51*3+AH51</f>
        <v>0</v>
      </c>
      <c r="AP51" s="46">
        <f>AT51/AT53*1000+AU51/AU53*100+AX51/AX53*10+AV51/AV53</f>
        <v>0</v>
      </c>
      <c r="AQ51" s="46">
        <f>VLOOKUP(AF51,db_fifarank,2,FALSE)/2000000</f>
        <v>8.1766E-4</v>
      </c>
      <c r="AR51" s="47">
        <f>1000*AO51/AO53+100*AN51+10*AJ51/AJ53+1*AP51/AP53+AQ51</f>
        <v>8.1766E-4</v>
      </c>
      <c r="AT51" s="46">
        <f>SUMPRODUCT(($W$12:$W$59=AF51&amp;"_win")*($Y$12:$Y$59))+SUMPRODUCT(($X$12:$X$59=AF51&amp;"_win")*($Y$12:$Y$59))</f>
        <v>0</v>
      </c>
      <c r="AU51" s="46">
        <f>SUMPRODUCT(($W$12:$W$59=AF51&amp;"_draw")*($Y$12:$Y$59))+SUMPRODUCT(($X$12:$X$59=AF51&amp;"_draw")*($Y$12:$Y$59))</f>
        <v>0</v>
      </c>
      <c r="AV51" s="46">
        <f>SUMPRODUCT(($H$12:$H$59=AF51)*($Y$12:$Y$59)*($I$12:$I$59))+SUMPRODUCT(($K$12:$K$59=AF51)*($Y$12:$Y$59)*($J$12:$J$59))</f>
        <v>0</v>
      </c>
      <c r="AW51" s="46">
        <f>SUMPRODUCT(($H$12:$H$59=AF51)*($Y$12:$Y$59)*($J$12:$J$59))+SUMPRODUCT(($K$12:$K$59=AF51)*($Y$12:$Y$59)*($I$12:$I$59))</f>
        <v>0</v>
      </c>
      <c r="AX51" s="46">
        <f>AV51-AW51</f>
        <v>0</v>
      </c>
      <c r="BV51" s="103"/>
      <c r="BW51" s="103"/>
      <c r="BX51" s="103"/>
      <c r="BY51" s="103"/>
      <c r="BZ51" s="103"/>
      <c r="CA51" s="103"/>
      <c r="CB51" s="103"/>
    </row>
    <row r="52" spans="1:80" ht="15" customHeight="1" x14ac:dyDescent="0.45">
      <c r="A52" s="32" t="str">
        <f>IF('Your Details'!$D$11="","",'Your Details'!$D$11)</f>
        <v/>
      </c>
      <c r="B52" s="32" t="str">
        <f>IF('Your Details'!$D$13="","",'Your Details'!$D$13)</f>
        <v/>
      </c>
      <c r="C52" s="32" t="str">
        <f>IF('Your Details'!$D$14="","",'Your Details'!$D$14)</f>
        <v/>
      </c>
      <c r="D52" s="77">
        <v>41</v>
      </c>
      <c r="E52" s="78" t="s">
        <v>19</v>
      </c>
      <c r="F52" s="79">
        <v>44896</v>
      </c>
      <c r="G52" s="80">
        <v>0.75</v>
      </c>
      <c r="H52" s="81" t="s">
        <v>58</v>
      </c>
      <c r="I52" s="82"/>
      <c r="J52" s="82"/>
      <c r="K52" s="83" t="s">
        <v>55</v>
      </c>
      <c r="L52" s="76" t="str">
        <f t="shared" si="7"/>
        <v/>
      </c>
      <c r="N52" s="87" t="str">
        <f>VLOOKUP(3,AE49:AO52,2,FALSE)</f>
        <v>Serbia</v>
      </c>
      <c r="O52" s="88">
        <f>P52+Q52+R52</f>
        <v>0</v>
      </c>
      <c r="P52" s="88">
        <f>VLOOKUP(3,AE49:AO52,3,FALSE)</f>
        <v>0</v>
      </c>
      <c r="Q52" s="88">
        <f>VLOOKUP(3,AE49:AO52,4,FALSE)</f>
        <v>0</v>
      </c>
      <c r="R52" s="88">
        <f>VLOOKUP(3,AE49:AO52,5,FALSE)</f>
        <v>0</v>
      </c>
      <c r="S52" s="88" t="str">
        <f>VLOOKUP(3,AE49:AO52,6,FALSE) &amp; " - " &amp; VLOOKUP(3,AE49:AO52,7,FALSE)</f>
        <v>0 - 0</v>
      </c>
      <c r="T52" s="88">
        <f>P52*3+Q52</f>
        <v>0</v>
      </c>
      <c r="V52" s="46" t="e">
        <f>DATE(2022,12,1)+TIME(4,0,0)+gmt_delta</f>
        <v>#N/A</v>
      </c>
      <c r="W52" s="66" t="str">
        <f t="shared" si="0"/>
        <v/>
      </c>
      <c r="X52" s="66" t="str">
        <f t="shared" si="1"/>
        <v/>
      </c>
      <c r="Y52" s="47">
        <f t="shared" si="2"/>
        <v>0</v>
      </c>
      <c r="Z52" s="46">
        <f t="shared" si="3"/>
        <v>0</v>
      </c>
      <c r="AA52" s="46">
        <f t="shared" si="4"/>
        <v>0</v>
      </c>
      <c r="AB52" s="46">
        <f t="shared" si="5"/>
        <v>0</v>
      </c>
      <c r="AC52" s="46" t="str">
        <f t="shared" si="6"/>
        <v/>
      </c>
      <c r="AE52" s="46">
        <f>COUNTIF(AR49:AR52,CONCATENATE("&gt;=",AR52))</f>
        <v>4</v>
      </c>
      <c r="AF52" s="47" t="str">
        <f>VLOOKUP("Cameroon",T,lang,FALSE)</f>
        <v>Cameroon</v>
      </c>
      <c r="AG52" s="46">
        <f>COUNTIF($W$12:$X$59,"=" &amp; AF52 &amp; "_win")</f>
        <v>0</v>
      </c>
      <c r="AH52" s="46">
        <f>COUNTIF($W$12:$X$59,"=" &amp; AF52 &amp; "_draw")</f>
        <v>0</v>
      </c>
      <c r="AI52" s="46">
        <f>COUNTIF($W$12:$X$59,"=" &amp; AF52 &amp; "_lose")</f>
        <v>0</v>
      </c>
      <c r="AJ52" s="46">
        <f>SUMIF($H$12:$H$59,$AF52,$I$12:$I$59) + SUMIF($K$12:$K$59,$AF52,$J$12:$J$59)</f>
        <v>0</v>
      </c>
      <c r="AK52" s="46">
        <f>SUMIF($H$12:$H$59,$AF52,$J$12:$J$59) + SUMIF($K$12:$K$59,$AF52,$I$12:$I$59)</f>
        <v>0</v>
      </c>
      <c r="AL52" s="46">
        <f>(AJ52-AK52)*100+AO52*10000+AJ52</f>
        <v>0</v>
      </c>
      <c r="AM52" s="46">
        <f>AJ52-AK52</f>
        <v>0</v>
      </c>
      <c r="AN52" s="46">
        <f>(AM52-AM54)/AM53</f>
        <v>0</v>
      </c>
      <c r="AO52" s="46">
        <f>AG52*3+AH52</f>
        <v>0</v>
      </c>
      <c r="AP52" s="46">
        <f>AT52/AT53*1000+AU52/AU53*100+AX52/AX53*10+AV52/AV53</f>
        <v>0</v>
      </c>
      <c r="AQ52" s="46">
        <f>VLOOKUP(AF52,db_fifarank,2,FALSE)/2000000</f>
        <v>7.4023999999999997E-4</v>
      </c>
      <c r="AR52" s="47">
        <f>1000*AO52/AO53+100*AN52+10*AJ52/AJ53+1*AP52/AP53+AQ52</f>
        <v>7.4023999999999997E-4</v>
      </c>
      <c r="AT52" s="46">
        <f>SUMPRODUCT(($W$12:$W$59=AF52&amp;"_win")*($Y$12:$Y$59))+SUMPRODUCT(($X$12:$X$59=AF52&amp;"_win")*($Y$12:$Y$59))</f>
        <v>0</v>
      </c>
      <c r="AU52" s="46">
        <f>SUMPRODUCT(($W$12:$W$59=AF52&amp;"_draw")*($Y$12:$Y$59))+SUMPRODUCT(($X$12:$X$59=AF52&amp;"_draw")*($Y$12:$Y$59))</f>
        <v>0</v>
      </c>
      <c r="AV52" s="46">
        <f>SUMPRODUCT(($H$12:$H$59=AF52)*($Y$12:$Y$59)*($I$12:$I$59))+SUMPRODUCT(($K$12:$K$59=AF52)*($Y$12:$Y$59)*($J$12:$J$59))</f>
        <v>0</v>
      </c>
      <c r="AW52" s="46">
        <f>SUMPRODUCT(($H$12:$H$59=AF52)*($Y$12:$Y$59)*($J$12:$J$59))+SUMPRODUCT(($K$12:$K$59=AF52)*($Y$12:$Y$59)*($I$12:$I$59))</f>
        <v>0</v>
      </c>
      <c r="AX52" s="46">
        <f>AV52-AW52</f>
        <v>0</v>
      </c>
      <c r="BP52" s="196" t="s">
        <v>204</v>
      </c>
      <c r="BQ52" s="196"/>
      <c r="BR52" s="196"/>
      <c r="BS52" s="196"/>
      <c r="BT52" s="196"/>
      <c r="BU52" s="196"/>
      <c r="BV52" s="204" t="str">
        <f>IF(SUM(BZ40:CB40)&gt;SUM(BZ41:CB41),BY40,IF(SUM(BZ41:CB41)&gt;SUM(BZ40:CB40),BY41,""))</f>
        <v/>
      </c>
      <c r="BW52" s="204"/>
      <c r="BX52" s="204"/>
      <c r="BY52" s="204"/>
      <c r="BZ52" s="204"/>
      <c r="CA52" s="204"/>
      <c r="CB52" s="204"/>
    </row>
    <row r="53" spans="1:80" ht="15" customHeight="1" thickBot="1" x14ac:dyDescent="0.5">
      <c r="A53" s="32" t="str">
        <f>IF('Your Details'!$D$11="","",'Your Details'!$D$11)</f>
        <v/>
      </c>
      <c r="B53" s="32" t="str">
        <f>IF('Your Details'!$D$13="","",'Your Details'!$D$13)</f>
        <v/>
      </c>
      <c r="C53" s="32" t="str">
        <f>IF('Your Details'!$D$14="","",'Your Details'!$D$14)</f>
        <v/>
      </c>
      <c r="D53" s="77">
        <v>42</v>
      </c>
      <c r="E53" s="78" t="s">
        <v>19</v>
      </c>
      <c r="F53" s="79">
        <v>44896</v>
      </c>
      <c r="G53" s="80">
        <v>0.75</v>
      </c>
      <c r="H53" s="81" t="s">
        <v>56</v>
      </c>
      <c r="I53" s="82"/>
      <c r="J53" s="82"/>
      <c r="K53" s="83" t="s">
        <v>57</v>
      </c>
      <c r="L53" s="76" t="str">
        <f t="shared" si="7"/>
        <v/>
      </c>
      <c r="N53" s="87" t="str">
        <f>VLOOKUP(4,AE49:AO52,2,FALSE)</f>
        <v>Cameroon</v>
      </c>
      <c r="O53" s="88">
        <f>P53+Q53+R53</f>
        <v>0</v>
      </c>
      <c r="P53" s="88">
        <f>VLOOKUP(4,AE49:AO52,3,FALSE)</f>
        <v>0</v>
      </c>
      <c r="Q53" s="88">
        <f>VLOOKUP(4,AE49:AO52,4,FALSE)</f>
        <v>0</v>
      </c>
      <c r="R53" s="88">
        <f>VLOOKUP(4,AE49:AO52,5,FALSE)</f>
        <v>0</v>
      </c>
      <c r="S53" s="88" t="str">
        <f>VLOOKUP(4,AE49:AO52,6,FALSE) &amp; " - " &amp; VLOOKUP(4,AE49:AO52,7,FALSE)</f>
        <v>0 - 0</v>
      </c>
      <c r="T53" s="88">
        <f>P53*3+Q53</f>
        <v>0</v>
      </c>
      <c r="V53" s="46" t="e">
        <f>DATE(2022,12,1)+TIME(4,0,0)+gmt_delta</f>
        <v>#N/A</v>
      </c>
      <c r="W53" s="66" t="str">
        <f t="shared" si="0"/>
        <v/>
      </c>
      <c r="X53" s="66" t="str">
        <f t="shared" si="1"/>
        <v/>
      </c>
      <c r="Y53" s="47">
        <f t="shared" si="2"/>
        <v>0</v>
      </c>
      <c r="Z53" s="46">
        <f t="shared" si="3"/>
        <v>0</v>
      </c>
      <c r="AA53" s="46">
        <f t="shared" si="4"/>
        <v>0</v>
      </c>
      <c r="AB53" s="46">
        <f t="shared" si="5"/>
        <v>0</v>
      </c>
      <c r="AC53" s="46" t="str">
        <f t="shared" si="6"/>
        <v/>
      </c>
      <c r="AG53" s="46">
        <f t="shared" ref="AG53:AP53" si="14">MAX(AG49:AG52)-MIN(AG49:AG52)+1</f>
        <v>1</v>
      </c>
      <c r="AH53" s="46">
        <f t="shared" si="14"/>
        <v>1</v>
      </c>
      <c r="AI53" s="46">
        <f t="shared" si="14"/>
        <v>1</v>
      </c>
      <c r="AJ53" s="46">
        <f t="shared" si="14"/>
        <v>1</v>
      </c>
      <c r="AK53" s="46">
        <f t="shared" si="14"/>
        <v>1</v>
      </c>
      <c r="AL53" s="46">
        <f>MAX(AL49:AL52)-AL54+1</f>
        <v>1</v>
      </c>
      <c r="AM53" s="46">
        <f>MAX(AM49:AM52)-AM54+1</f>
        <v>1</v>
      </c>
      <c r="AO53" s="46">
        <f t="shared" si="14"/>
        <v>1</v>
      </c>
      <c r="AP53" s="46">
        <f t="shared" si="14"/>
        <v>1</v>
      </c>
      <c r="AT53" s="46">
        <f>MAX(AT49:AT52)-MIN(AT49:AT52)+1</f>
        <v>1</v>
      </c>
      <c r="AU53" s="46">
        <f>MAX(AU49:AU52)-MIN(AU49:AU52)+1</f>
        <v>1</v>
      </c>
      <c r="AV53" s="46">
        <f>MAX(AV49:AV52)-MIN(AV49:AV52)+1</f>
        <v>1</v>
      </c>
      <c r="AW53" s="46">
        <f>MAX(AW49:AW52)-MIN(AW49:AW52)+1</f>
        <v>1</v>
      </c>
      <c r="AX53" s="46">
        <f>MAX(AX49:AX52)-MIN(AX49:AX52)+1</f>
        <v>1</v>
      </c>
      <c r="BP53" s="203"/>
      <c r="BQ53" s="203"/>
      <c r="BR53" s="203"/>
      <c r="BS53" s="203"/>
      <c r="BT53" s="203"/>
      <c r="BU53" s="203"/>
      <c r="BV53" s="205"/>
      <c r="BW53" s="205"/>
      <c r="BX53" s="205"/>
      <c r="BY53" s="205"/>
      <c r="BZ53" s="205"/>
      <c r="CA53" s="205"/>
      <c r="CB53" s="205"/>
    </row>
    <row r="54" spans="1:80" ht="15" customHeight="1" x14ac:dyDescent="0.45">
      <c r="A54" s="32" t="str">
        <f>IF('Your Details'!$D$11="","",'Your Details'!$D$11)</f>
        <v/>
      </c>
      <c r="B54" s="32" t="str">
        <f>IF('Your Details'!$D$13="","",'Your Details'!$D$13)</f>
        <v/>
      </c>
      <c r="C54" s="32" t="str">
        <f>IF('Your Details'!$D$14="","",'Your Details'!$D$14)</f>
        <v/>
      </c>
      <c r="D54" s="77">
        <v>43</v>
      </c>
      <c r="E54" s="78" t="s">
        <v>19</v>
      </c>
      <c r="F54" s="79">
        <v>44896</v>
      </c>
      <c r="G54" s="80">
        <v>0.91666666666666663</v>
      </c>
      <c r="H54" s="81" t="s">
        <v>54</v>
      </c>
      <c r="I54" s="82"/>
      <c r="J54" s="82"/>
      <c r="K54" s="83" t="s">
        <v>51</v>
      </c>
      <c r="L54" s="76" t="str">
        <f t="shared" si="7"/>
        <v/>
      </c>
      <c r="V54" s="46" t="e">
        <f>DATE(2022,12,1)+TIME(8,0,0)+gmt_delta</f>
        <v>#N/A</v>
      </c>
      <c r="W54" s="66" t="str">
        <f t="shared" si="0"/>
        <v/>
      </c>
      <c r="X54" s="66" t="str">
        <f t="shared" si="1"/>
        <v/>
      </c>
      <c r="Y54" s="47">
        <f t="shared" si="2"/>
        <v>0</v>
      </c>
      <c r="Z54" s="46">
        <f t="shared" si="3"/>
        <v>0</v>
      </c>
      <c r="AA54" s="46">
        <f t="shared" si="4"/>
        <v>0</v>
      </c>
      <c r="AB54" s="46">
        <f t="shared" si="5"/>
        <v>0</v>
      </c>
      <c r="AC54" s="46" t="str">
        <f t="shared" si="6"/>
        <v/>
      </c>
      <c r="AL54" s="46">
        <f>MIN(AL49:AL52)</f>
        <v>0</v>
      </c>
      <c r="AM54" s="46">
        <f>MIN(AM49:AM52)</f>
        <v>0</v>
      </c>
      <c r="BP54" s="196" t="s">
        <v>205</v>
      </c>
      <c r="BQ54" s="196"/>
      <c r="BR54" s="196"/>
      <c r="BS54" s="196"/>
      <c r="BT54" s="196"/>
      <c r="BU54" s="196"/>
      <c r="BV54" s="204" t="str">
        <f>IF(SUM(BZ40:CB40)&lt;SUM(BZ41:CB41),BY40,IF(SUM(BZ41:CB41)&lt;SUM(BZ40:CB40),BY41,""))</f>
        <v/>
      </c>
      <c r="BW54" s="204"/>
      <c r="BX54" s="204"/>
      <c r="BY54" s="204"/>
      <c r="BZ54" s="204"/>
      <c r="CA54" s="204"/>
      <c r="CB54" s="204"/>
    </row>
    <row r="55" spans="1:80" ht="15" customHeight="1" x14ac:dyDescent="0.45">
      <c r="A55" s="32" t="str">
        <f>IF('Your Details'!$D$11="","",'Your Details'!$D$11)</f>
        <v/>
      </c>
      <c r="B55" s="32" t="str">
        <f>IF('Your Details'!$D$13="","",'Your Details'!$D$13)</f>
        <v/>
      </c>
      <c r="C55" s="32" t="str">
        <f>IF('Your Details'!$D$14="","",'Your Details'!$D$14)</f>
        <v/>
      </c>
      <c r="D55" s="77">
        <v>44</v>
      </c>
      <c r="E55" s="78" t="s">
        <v>19</v>
      </c>
      <c r="F55" s="79">
        <v>44896</v>
      </c>
      <c r="G55" s="80">
        <v>0.91666666666666663</v>
      </c>
      <c r="H55" s="81" t="s">
        <v>52</v>
      </c>
      <c r="I55" s="82"/>
      <c r="J55" s="82"/>
      <c r="K55" s="83" t="s">
        <v>53</v>
      </c>
      <c r="L55" s="76" t="str">
        <f t="shared" si="7"/>
        <v/>
      </c>
      <c r="N55" s="84" t="s">
        <v>206</v>
      </c>
      <c r="O55" s="84" t="s">
        <v>9</v>
      </c>
      <c r="P55" s="84" t="s">
        <v>10</v>
      </c>
      <c r="Q55" s="84" t="s">
        <v>169</v>
      </c>
      <c r="R55" s="84" t="s">
        <v>12</v>
      </c>
      <c r="S55" s="84" t="s">
        <v>13</v>
      </c>
      <c r="T55" s="84" t="s">
        <v>177</v>
      </c>
      <c r="V55" s="46" t="e">
        <f>DATE(2022,12,1)+TIME(8,0,0)+gmt_delta</f>
        <v>#N/A</v>
      </c>
      <c r="W55" s="66" t="str">
        <f t="shared" si="0"/>
        <v/>
      </c>
      <c r="X55" s="66" t="str">
        <f t="shared" si="1"/>
        <v/>
      </c>
      <c r="Y55" s="47">
        <f t="shared" si="2"/>
        <v>0</v>
      </c>
      <c r="Z55" s="46">
        <f t="shared" si="3"/>
        <v>0</v>
      </c>
      <c r="AA55" s="46">
        <f t="shared" si="4"/>
        <v>0</v>
      </c>
      <c r="AB55" s="46">
        <f t="shared" si="5"/>
        <v>0</v>
      </c>
      <c r="AC55" s="46" t="str">
        <f t="shared" si="6"/>
        <v/>
      </c>
      <c r="AE55" s="46">
        <f>COUNTIF(AR55:AR58,CONCATENATE("&gt;=",AR55))</f>
        <v>1</v>
      </c>
      <c r="AF55" s="47" t="str">
        <f>VLOOKUP("Portugal",T,lang,FALSE)</f>
        <v>Portugal</v>
      </c>
      <c r="AG55" s="46">
        <f>COUNTIF($W$12:$X$59,"=" &amp; AF55 &amp; "_win")</f>
        <v>0</v>
      </c>
      <c r="AH55" s="46">
        <f>COUNTIF($W$12:$X$59,"=" &amp; AF55 &amp; "_draw")</f>
        <v>0</v>
      </c>
      <c r="AI55" s="46">
        <f>COUNTIF($W$12:$X$59,"=" &amp; AF55 &amp; "_lose")</f>
        <v>0</v>
      </c>
      <c r="AJ55" s="46">
        <f>SUMIF($H$12:$H$59,$AF55,$I$12:$I$59) + SUMIF($K$12:$K$59,$AF55,$J$12:$J$59)</f>
        <v>0</v>
      </c>
      <c r="AK55" s="46">
        <f>SUMIF($H$12:$H$59,$AF55,$J$12:$J$59) + SUMIF($K$12:$K$59,$AF55,$I$12:$I$59)</f>
        <v>0</v>
      </c>
      <c r="AL55" s="46">
        <f>(AJ55-AK55)*100+AO55*10000+AJ55</f>
        <v>0</v>
      </c>
      <c r="AM55" s="46">
        <f>AJ55-AK55</f>
        <v>0</v>
      </c>
      <c r="AN55" s="46">
        <f>(AM55-AM60)/AM59</f>
        <v>0</v>
      </c>
      <c r="AO55" s="46">
        <f>AG55*3+AH55</f>
        <v>0</v>
      </c>
      <c r="AP55" s="46">
        <f>AT55/AT59*1000+AU55/AU59*100+AX55/AX59*10+AV55/AV59</f>
        <v>0</v>
      </c>
      <c r="AQ55" s="46">
        <f>VLOOKUP(AF55,db_fifarank,2,FALSE)/2000000</f>
        <v>8.3739000000000003E-4</v>
      </c>
      <c r="AR55" s="47">
        <f>1000*AO55/AO59+100*AN55+10*AJ55/AJ59+1*AP55/AP59+AQ55</f>
        <v>8.3739000000000003E-4</v>
      </c>
      <c r="AS55" s="47" t="str">
        <f>IF(SUM(AG55:AI58)=12,N56,INDEX(T,84,lang))</f>
        <v>1H</v>
      </c>
      <c r="AT55" s="46">
        <f>SUMPRODUCT(($W$12:$W$59=AF55&amp;"_win")*($Y$12:$Y$59))+SUMPRODUCT(($X$12:$X$59=AF55&amp;"_win")*($Y$12:$Y$59))</f>
        <v>0</v>
      </c>
      <c r="AU55" s="46">
        <f>SUMPRODUCT(($W$12:$W$59=AF55&amp;"_draw")*($Y$12:$Y$59))+SUMPRODUCT(($X$12:$X$59=AF55&amp;"_draw")*($Y$12:$Y$59))</f>
        <v>0</v>
      </c>
      <c r="AV55" s="46">
        <f>SUMPRODUCT(($H$12:$H$59=AF55)*($Y$12:$Y$59)*($I$12:$I$59))+SUMPRODUCT(($K$12:$K$59=AF55)*($Y$12:$Y$59)*($J$12:$J$59))</f>
        <v>0</v>
      </c>
      <c r="AW55" s="46">
        <f>SUMPRODUCT(($H$12:$H$59=AF55)*($Y$12:$Y$59)*($J$12:$J$59))+SUMPRODUCT(($K$12:$K$59=AF55)*($Y$12:$Y$59)*($I$12:$I$59))</f>
        <v>0</v>
      </c>
      <c r="AX55" s="46">
        <f>AV55-AW55</f>
        <v>0</v>
      </c>
      <c r="BP55" s="197"/>
      <c r="BQ55" s="197"/>
      <c r="BR55" s="197"/>
      <c r="BS55" s="197"/>
      <c r="BT55" s="197"/>
      <c r="BU55" s="197"/>
      <c r="BV55" s="206"/>
      <c r="BW55" s="206"/>
      <c r="BX55" s="206"/>
      <c r="BY55" s="206"/>
      <c r="BZ55" s="206"/>
      <c r="CA55" s="206"/>
      <c r="CB55" s="206"/>
    </row>
    <row r="56" spans="1:80" ht="15" customHeight="1" x14ac:dyDescent="0.45">
      <c r="A56" s="32" t="str">
        <f>IF('Your Details'!$D$11="","",'Your Details'!$D$11)</f>
        <v/>
      </c>
      <c r="B56" s="32" t="str">
        <f>IF('Your Details'!$D$13="","",'Your Details'!$D$13)</f>
        <v/>
      </c>
      <c r="C56" s="32" t="str">
        <f>IF('Your Details'!$D$14="","",'Your Details'!$D$14)</f>
        <v/>
      </c>
      <c r="D56" s="77">
        <v>45</v>
      </c>
      <c r="E56" s="78" t="s">
        <v>20</v>
      </c>
      <c r="F56" s="79">
        <v>44897</v>
      </c>
      <c r="G56" s="80">
        <v>0.75</v>
      </c>
      <c r="H56" s="81" t="s">
        <v>64</v>
      </c>
      <c r="I56" s="82"/>
      <c r="J56" s="82"/>
      <c r="K56" s="83" t="s">
        <v>65</v>
      </c>
      <c r="L56" s="76" t="str">
        <f t="shared" si="7"/>
        <v/>
      </c>
      <c r="N56" s="87" t="str">
        <f>VLOOKUP(1,AE55:AO58,2,FALSE)</f>
        <v>Portugal</v>
      </c>
      <c r="O56" s="88">
        <f>P56+Q56+R56</f>
        <v>0</v>
      </c>
      <c r="P56" s="88">
        <f>VLOOKUP(1,AE55:AO58,3,FALSE)</f>
        <v>0</v>
      </c>
      <c r="Q56" s="88">
        <f>VLOOKUP(1,AE55:AO58,4,FALSE)</f>
        <v>0</v>
      </c>
      <c r="R56" s="88">
        <f>VLOOKUP(1,AE55:AO58,5,FALSE)</f>
        <v>0</v>
      </c>
      <c r="S56" s="88" t="str">
        <f>VLOOKUP(1,AE55:AO58,6,FALSE) &amp; " - " &amp; VLOOKUP(1,AE55:AO58,7,FALSE)</f>
        <v>0 - 0</v>
      </c>
      <c r="T56" s="88">
        <f>P56*3+Q56</f>
        <v>0</v>
      </c>
      <c r="V56" s="46" t="e">
        <f>DATE(2022,12,2)+TIME(4,0,0)+gmt_delta</f>
        <v>#N/A</v>
      </c>
      <c r="W56" s="66" t="str">
        <f t="shared" si="0"/>
        <v/>
      </c>
      <c r="X56" s="66" t="str">
        <f t="shared" si="1"/>
        <v/>
      </c>
      <c r="Y56" s="47">
        <f t="shared" si="2"/>
        <v>0</v>
      </c>
      <c r="Z56" s="46">
        <f t="shared" si="3"/>
        <v>0</v>
      </c>
      <c r="AA56" s="46">
        <f t="shared" si="4"/>
        <v>0</v>
      </c>
      <c r="AB56" s="46">
        <f t="shared" si="5"/>
        <v>0</v>
      </c>
      <c r="AC56" s="46" t="str">
        <f t="shared" si="6"/>
        <v/>
      </c>
      <c r="AE56" s="46">
        <f>COUNTIF(AR55:AR58,CONCATENATE("&gt;=",AR56))</f>
        <v>4</v>
      </c>
      <c r="AF56" s="47" t="str">
        <f>VLOOKUP("Ghana",T,lang,FALSE)</f>
        <v>Ghana</v>
      </c>
      <c r="AG56" s="46">
        <f>COUNTIF($W$12:$X$59,"=" &amp; AF56 &amp; "_win")</f>
        <v>0</v>
      </c>
      <c r="AH56" s="46">
        <f>COUNTIF($W$12:$X$59,"=" &amp; AF56 &amp; "_draw")</f>
        <v>0</v>
      </c>
      <c r="AI56" s="46">
        <f>COUNTIF($W$12:$X$59,"=" &amp; AF56 &amp; "_lose")</f>
        <v>0</v>
      </c>
      <c r="AJ56" s="46">
        <f>SUMIF($H$12:$H$59,$AF56,$I$12:$I$59) + SUMIF($K$12:$K$59,$AF56,$J$12:$J$59)</f>
        <v>0</v>
      </c>
      <c r="AK56" s="46">
        <f>SUMIF($H$12:$H$59,$AF56,$J$12:$J$59) + SUMIF($K$12:$K$59,$AF56,$I$12:$I$59)</f>
        <v>0</v>
      </c>
      <c r="AL56" s="46">
        <f>(AJ56-AK56)*100+AO56*10000+AJ56</f>
        <v>0</v>
      </c>
      <c r="AM56" s="46">
        <f>AJ56-AK56</f>
        <v>0</v>
      </c>
      <c r="AN56" s="46">
        <f>(AM56-AM60)/AM59</f>
        <v>0</v>
      </c>
      <c r="AO56" s="46">
        <f>AG56*3+AH56</f>
        <v>0</v>
      </c>
      <c r="AP56" s="46">
        <f>AT56/AT59*1000+AU56/AU59*100+AX56/AX59*10+AV56/AV59</f>
        <v>0</v>
      </c>
      <c r="AQ56" s="46">
        <f>VLOOKUP(AF56,db_fifarank,2,FALSE)/2000000</f>
        <v>6.936799999999999E-4</v>
      </c>
      <c r="AR56" s="47">
        <f>1000*AO56/AO59+100*AN56+10*AJ56/AJ59+1*AP56/AP59+AQ56</f>
        <v>6.936799999999999E-4</v>
      </c>
      <c r="AS56" s="47" t="str">
        <f>IF(SUM(AG55:AI58)=12,N57,INDEX(T,85,lang))</f>
        <v>2H</v>
      </c>
      <c r="AT56" s="46">
        <f>SUMPRODUCT(($W$12:$W$59=AF56&amp;"_win")*($Y$12:$Y$59))+SUMPRODUCT(($X$12:$X$59=AF56&amp;"_win")*($Y$12:$Y$59))</f>
        <v>0</v>
      </c>
      <c r="AU56" s="46">
        <f>SUMPRODUCT(($W$12:$W$59=AF56&amp;"_draw")*($Y$12:$Y$59))+SUMPRODUCT(($X$12:$X$59=AF56&amp;"_draw")*($Y$12:$Y$59))</f>
        <v>0</v>
      </c>
      <c r="AV56" s="46">
        <f>SUMPRODUCT(($H$12:$H$59=AF56)*($Y$12:$Y$59)*($I$12:$I$59))+SUMPRODUCT(($K$12:$K$59=AF56)*($Y$12:$Y$59)*($J$12:$J$59))</f>
        <v>0</v>
      </c>
      <c r="AW56" s="46">
        <f>SUMPRODUCT(($H$12:$H$59=AF56)*($Y$12:$Y$59)*($J$12:$J$59))+SUMPRODUCT(($K$12:$K$59=AF56)*($Y$12:$Y$59)*($I$12:$I$59))</f>
        <v>0</v>
      </c>
      <c r="AX56" s="46">
        <f>AV56-AW56</f>
        <v>0</v>
      </c>
    </row>
    <row r="57" spans="1:80" ht="15" customHeight="1" x14ac:dyDescent="0.45">
      <c r="A57" s="32" t="str">
        <f>IF('Your Details'!$D$11="","",'Your Details'!$D$11)</f>
        <v/>
      </c>
      <c r="B57" s="32" t="str">
        <f>IF('Your Details'!$D$13="","",'Your Details'!$D$13)</f>
        <v/>
      </c>
      <c r="C57" s="32" t="str">
        <f>IF('Your Details'!$D$14="","",'Your Details'!$D$14)</f>
        <v/>
      </c>
      <c r="D57" s="77">
        <v>46</v>
      </c>
      <c r="E57" s="78" t="s">
        <v>20</v>
      </c>
      <c r="F57" s="79">
        <v>44897</v>
      </c>
      <c r="G57" s="80">
        <v>0.75</v>
      </c>
      <c r="H57" s="81" t="s">
        <v>66</v>
      </c>
      <c r="I57" s="82"/>
      <c r="J57" s="82"/>
      <c r="K57" s="83" t="s">
        <v>63</v>
      </c>
      <c r="L57" s="76" t="str">
        <f t="shared" si="7"/>
        <v/>
      </c>
      <c r="N57" s="87" t="str">
        <f>VLOOKUP(2,AE55:AO58,2,FALSE)</f>
        <v>Uruguay</v>
      </c>
      <c r="O57" s="88">
        <f>P57+Q57+R57</f>
        <v>0</v>
      </c>
      <c r="P57" s="88">
        <f>VLOOKUP(2,AE55:AO58,3,FALSE)</f>
        <v>0</v>
      </c>
      <c r="Q57" s="88">
        <f>VLOOKUP(2,AE55:AO58,4,FALSE)</f>
        <v>0</v>
      </c>
      <c r="R57" s="88">
        <f>VLOOKUP(2,AE55:AO58,5,FALSE)</f>
        <v>0</v>
      </c>
      <c r="S57" s="88" t="str">
        <f>VLOOKUP(2,AE55:AO58,6,FALSE) &amp; " - " &amp; VLOOKUP(2,AE55:AO58,7,FALSE)</f>
        <v>0 - 0</v>
      </c>
      <c r="T57" s="88">
        <f>P57*3+Q57</f>
        <v>0</v>
      </c>
      <c r="V57" s="46" t="e">
        <f>DATE(2022,12,2)+TIME(4,0,0)+gmt_delta</f>
        <v>#N/A</v>
      </c>
      <c r="W57" s="66" t="str">
        <f t="shared" si="0"/>
        <v/>
      </c>
      <c r="X57" s="66" t="str">
        <f t="shared" si="1"/>
        <v/>
      </c>
      <c r="Y57" s="47">
        <f t="shared" si="2"/>
        <v>0</v>
      </c>
      <c r="Z57" s="46">
        <f t="shared" si="3"/>
        <v>0</v>
      </c>
      <c r="AA57" s="46">
        <f t="shared" si="4"/>
        <v>0</v>
      </c>
      <c r="AB57" s="46">
        <f t="shared" si="5"/>
        <v>0</v>
      </c>
      <c r="AC57" s="46" t="str">
        <f t="shared" si="6"/>
        <v/>
      </c>
      <c r="AE57" s="46">
        <f>COUNTIF(AR55:AR58,CONCATENATE("&gt;=",AR57))</f>
        <v>2</v>
      </c>
      <c r="AF57" s="47" t="str">
        <f>VLOOKUP("Uruguay",T,lang,FALSE)</f>
        <v>Uruguay</v>
      </c>
      <c r="AG57" s="46">
        <f>COUNTIF($W$12:$X$59,"=" &amp; AF57 &amp; "_win")</f>
        <v>0</v>
      </c>
      <c r="AH57" s="46">
        <f>COUNTIF($W$12:$X$59,"=" &amp; AF57 &amp; "_draw")</f>
        <v>0</v>
      </c>
      <c r="AI57" s="46">
        <f>COUNTIF($W$12:$X$59,"=" &amp; AF57 &amp; "_lose")</f>
        <v>0</v>
      </c>
      <c r="AJ57" s="46">
        <f>SUMIF($H$12:$H$59,$AF57,$I$12:$I$59) + SUMIF($K$12:$K$59,$AF57,$J$12:$J$59)</f>
        <v>0</v>
      </c>
      <c r="AK57" s="46">
        <f>SUMIF($H$12:$H$59,$AF57,$J$12:$J$59) + SUMIF($K$12:$K$59,$AF57,$I$12:$I$59)</f>
        <v>0</v>
      </c>
      <c r="AL57" s="46">
        <f>(AJ57-AK57)*100+AO57*10000+AJ57</f>
        <v>0</v>
      </c>
      <c r="AM57" s="46">
        <f>AJ57-AK57</f>
        <v>0</v>
      </c>
      <c r="AN57" s="46">
        <f>(AM57-AM60)/AM59</f>
        <v>0</v>
      </c>
      <c r="AO57" s="46">
        <f>AG57*3+AH57</f>
        <v>0</v>
      </c>
      <c r="AP57" s="46">
        <f>AT57/AT59*1000+AU57/AU59*100+AX57/AX59*10+AV57/AV59</f>
        <v>0</v>
      </c>
      <c r="AQ57" s="46">
        <f>VLOOKUP(AF57,db_fifarank,2,FALSE)/2000000</f>
        <v>8.1786499999999998E-4</v>
      </c>
      <c r="AR57" s="47">
        <f>1000*AO57/AO59+100*AN57+10*AJ57/AJ59+1*AP57/AP59+AQ57</f>
        <v>8.1786499999999998E-4</v>
      </c>
      <c r="AT57" s="46">
        <f>SUMPRODUCT(($W$12:$W$59=AF57&amp;"_win")*($Y$12:$Y$59))+SUMPRODUCT(($X$12:$X$59=AF57&amp;"_win")*($Y$12:$Y$59))</f>
        <v>0</v>
      </c>
      <c r="AU57" s="46">
        <f>SUMPRODUCT(($W$12:$W$59=AF57&amp;"_draw")*($Y$12:$Y$59))+SUMPRODUCT(($X$12:$X$59=AF57&amp;"_draw")*($Y$12:$Y$59))</f>
        <v>0</v>
      </c>
      <c r="AV57" s="46">
        <f>SUMPRODUCT(($H$12:$H$59=AF57)*($Y$12:$Y$59)*($I$12:$I$59))+SUMPRODUCT(($K$12:$K$59=AF57)*($Y$12:$Y$59)*($J$12:$J$59))</f>
        <v>0</v>
      </c>
      <c r="AW57" s="46">
        <f>SUMPRODUCT(($H$12:$H$59=AF57)*($Y$12:$Y$59)*($J$12:$J$59))+SUMPRODUCT(($K$12:$K$59=AF57)*($Y$12:$Y$59)*($I$12:$I$59))</f>
        <v>0</v>
      </c>
      <c r="AX57" s="46">
        <f>AV57-AW57</f>
        <v>0</v>
      </c>
    </row>
    <row r="58" spans="1:80" ht="15" customHeight="1" x14ac:dyDescent="0.45">
      <c r="A58" s="32" t="str">
        <f>IF('Your Details'!$D$11="","",'Your Details'!$D$11)</f>
        <v/>
      </c>
      <c r="B58" s="32" t="str">
        <f>IF('Your Details'!$D$13="","",'Your Details'!$D$13)</f>
        <v/>
      </c>
      <c r="C58" s="32" t="str">
        <f>IF('Your Details'!$D$14="","",'Your Details'!$D$14)</f>
        <v/>
      </c>
      <c r="D58" s="77">
        <v>47</v>
      </c>
      <c r="E58" s="78" t="s">
        <v>20</v>
      </c>
      <c r="F58" s="79">
        <v>44897</v>
      </c>
      <c r="G58" s="80">
        <v>0.91666666666666663</v>
      </c>
      <c r="H58" s="81" t="s">
        <v>60</v>
      </c>
      <c r="I58" s="82"/>
      <c r="J58" s="82"/>
      <c r="K58" s="83" t="s">
        <v>61</v>
      </c>
      <c r="L58" s="76" t="str">
        <f t="shared" si="7"/>
        <v/>
      </c>
      <c r="N58" s="87" t="str">
        <f>VLOOKUP(3,AE55:AO58,2,FALSE)</f>
        <v>Korea Republic</v>
      </c>
      <c r="O58" s="88">
        <f>P58+Q58+R58</f>
        <v>0</v>
      </c>
      <c r="P58" s="88">
        <f>VLOOKUP(3,AE55:AO58,3,FALSE)</f>
        <v>0</v>
      </c>
      <c r="Q58" s="88">
        <f>VLOOKUP(3,AE55:AO58,4,FALSE)</f>
        <v>0</v>
      </c>
      <c r="R58" s="88">
        <f>VLOOKUP(3,AE55:AO58,5,FALSE)</f>
        <v>0</v>
      </c>
      <c r="S58" s="88" t="str">
        <f>VLOOKUP(3,AE55:AO58,6,FALSE) &amp; " - " &amp; VLOOKUP(3,AE55:AO58,7,FALSE)</f>
        <v>0 - 0</v>
      </c>
      <c r="T58" s="88">
        <f>P58*3+Q58</f>
        <v>0</v>
      </c>
      <c r="V58" s="46" t="e">
        <f>DATE(2022,12,2)+TIME(8,0,0)+gmt_delta</f>
        <v>#N/A</v>
      </c>
      <c r="W58" s="66" t="str">
        <f t="shared" si="0"/>
        <v/>
      </c>
      <c r="X58" s="66" t="str">
        <f t="shared" si="1"/>
        <v/>
      </c>
      <c r="Y58" s="47">
        <f t="shared" si="2"/>
        <v>0</v>
      </c>
      <c r="Z58" s="46">
        <f t="shared" si="3"/>
        <v>0</v>
      </c>
      <c r="AA58" s="46">
        <f t="shared" si="4"/>
        <v>0</v>
      </c>
      <c r="AB58" s="46">
        <f t="shared" si="5"/>
        <v>0</v>
      </c>
      <c r="AC58" s="46" t="str">
        <f t="shared" si="6"/>
        <v/>
      </c>
      <c r="AE58" s="46">
        <f>COUNTIF(AR55:AR58,CONCATENATE("&gt;=",AR58))</f>
        <v>3</v>
      </c>
      <c r="AF58" s="47" t="str">
        <f>VLOOKUP("Korea Republic",T,lang,FALSE)</f>
        <v>Korea Republic</v>
      </c>
      <c r="AG58" s="46">
        <f>COUNTIF($W$12:$X$59,"=" &amp; AF58 &amp; "_win")</f>
        <v>0</v>
      </c>
      <c r="AH58" s="46">
        <f>COUNTIF($W$12:$X$59,"=" &amp; AF58 &amp; "_draw")</f>
        <v>0</v>
      </c>
      <c r="AI58" s="46">
        <f>COUNTIF($W$12:$X$59,"=" &amp; AF58 &amp; "_lose")</f>
        <v>0</v>
      </c>
      <c r="AJ58" s="46">
        <f>SUMIF($H$12:$H$59,$AF58,$I$12:$I$59) + SUMIF($K$12:$K$59,$AF58,$J$12:$J$59)</f>
        <v>0</v>
      </c>
      <c r="AK58" s="46">
        <f>SUMIF($H$12:$H$59,$AF58,$J$12:$J$59) + SUMIF($K$12:$K$59,$AF58,$I$12:$I$59)</f>
        <v>0</v>
      </c>
      <c r="AL58" s="46">
        <f>(AJ58-AK58)*100+AO58*10000+AJ58</f>
        <v>0</v>
      </c>
      <c r="AM58" s="46">
        <f>AJ58-AK58</f>
        <v>0</v>
      </c>
      <c r="AN58" s="46">
        <f>(AM58-AM60)/AM59</f>
        <v>0</v>
      </c>
      <c r="AO58" s="46">
        <f>AG58*3+AH58</f>
        <v>0</v>
      </c>
      <c r="AP58" s="46">
        <f>AT58/AT59*1000+AU58/AU59*100+AX58/AX59*10+AV58/AV59</f>
        <v>0</v>
      </c>
      <c r="AQ58" s="46">
        <f>VLOOKUP(AF58,db_fifarank,2,FALSE)/2000000</f>
        <v>7.5977E-4</v>
      </c>
      <c r="AR58" s="47">
        <f>1000*AO58/AO59+100*AN58+10*AJ58/AJ59+1*AP58/AP59+AQ58</f>
        <v>7.5977E-4</v>
      </c>
      <c r="AT58" s="46">
        <f>SUMPRODUCT(($W$12:$W$59=AF58&amp;"_win")*($Y$12:$Y$59))+SUMPRODUCT(($X$12:$X$59=AF58&amp;"_win")*($Y$12:$Y$59))</f>
        <v>0</v>
      </c>
      <c r="AU58" s="46">
        <f>SUMPRODUCT(($W$12:$W$59=AF58&amp;"_draw")*($Y$12:$Y$59))+SUMPRODUCT(($X$12:$X$59=AF58&amp;"_draw")*($Y$12:$Y$59))</f>
        <v>0</v>
      </c>
      <c r="AV58" s="46">
        <f>SUMPRODUCT(($H$12:$H$59=AF58)*($Y$12:$Y$59)*($I$12:$I$59))+SUMPRODUCT(($K$12:$K$59=AF58)*($Y$12:$Y$59)*($J$12:$J$59))</f>
        <v>0</v>
      </c>
      <c r="AW58" s="46">
        <f>SUMPRODUCT(($H$12:$H$59=AF58)*($Y$12:$Y$59)*($J$12:$J$59))+SUMPRODUCT(($K$12:$K$59=AF58)*($Y$12:$Y$59)*($I$12:$I$59))</f>
        <v>0</v>
      </c>
      <c r="AX58" s="46">
        <f>AV58-AW58</f>
        <v>0</v>
      </c>
    </row>
    <row r="59" spans="1:80" ht="15" customHeight="1" thickBot="1" x14ac:dyDescent="0.5">
      <c r="A59" s="32" t="str">
        <f>IF('Your Details'!$D$11="","",'Your Details'!$D$11)</f>
        <v/>
      </c>
      <c r="B59" s="32" t="str">
        <f>IF('Your Details'!$D$13="","",'Your Details'!$D$13)</f>
        <v/>
      </c>
      <c r="C59" s="32" t="str">
        <f>IF('Your Details'!$D$14="","",'Your Details'!$D$14)</f>
        <v/>
      </c>
      <c r="D59" s="104">
        <v>48</v>
      </c>
      <c r="E59" s="105" t="s">
        <v>20</v>
      </c>
      <c r="F59" s="106">
        <v>44897</v>
      </c>
      <c r="G59" s="107">
        <v>0.91666666666666663</v>
      </c>
      <c r="H59" s="108" t="s">
        <v>62</v>
      </c>
      <c r="I59" s="109"/>
      <c r="J59" s="109"/>
      <c r="K59" s="110" t="s">
        <v>59</v>
      </c>
      <c r="L59" s="76" t="str">
        <f t="shared" si="7"/>
        <v/>
      </c>
      <c r="N59" s="87" t="str">
        <f>VLOOKUP(4,AE55:AO58,2,FALSE)</f>
        <v>Ghana</v>
      </c>
      <c r="O59" s="88">
        <f>P59+Q59+R59</f>
        <v>0</v>
      </c>
      <c r="P59" s="88">
        <f>VLOOKUP(4,AE55:AO58,3,FALSE)</f>
        <v>0</v>
      </c>
      <c r="Q59" s="88">
        <f>VLOOKUP(4,AE55:AO58,4,FALSE)</f>
        <v>0</v>
      </c>
      <c r="R59" s="88">
        <f>VLOOKUP(4,AE55:AO58,5,FALSE)</f>
        <v>0</v>
      </c>
      <c r="S59" s="88" t="str">
        <f>VLOOKUP(4,AE55:AO58,6,FALSE) &amp; " - " &amp; VLOOKUP(4,AE55:AO58,7,FALSE)</f>
        <v>0 - 0</v>
      </c>
      <c r="T59" s="88">
        <f>P59*3+Q59</f>
        <v>0</v>
      </c>
      <c r="V59" s="46" t="e">
        <f>DATE(2022,12,2)+TIME(8,0,0)+gmt_delta</f>
        <v>#N/A</v>
      </c>
      <c r="W59" s="66" t="str">
        <f t="shared" si="0"/>
        <v/>
      </c>
      <c r="X59" s="66" t="str">
        <f t="shared" si="1"/>
        <v/>
      </c>
      <c r="Y59" s="47">
        <f t="shared" si="2"/>
        <v>0</v>
      </c>
      <c r="Z59" s="46">
        <f t="shared" si="3"/>
        <v>0</v>
      </c>
      <c r="AA59" s="46">
        <f t="shared" si="4"/>
        <v>0</v>
      </c>
      <c r="AB59" s="46">
        <f t="shared" si="5"/>
        <v>0</v>
      </c>
      <c r="AC59" s="46" t="str">
        <f t="shared" si="6"/>
        <v/>
      </c>
      <c r="AG59" s="46">
        <f t="shared" ref="AG59:AP59" si="15">MAX(AG55:AG58)-MIN(AG55:AG58)+1</f>
        <v>1</v>
      </c>
      <c r="AH59" s="46">
        <f t="shared" si="15"/>
        <v>1</v>
      </c>
      <c r="AI59" s="46">
        <f t="shared" si="15"/>
        <v>1</v>
      </c>
      <c r="AJ59" s="46">
        <f t="shared" si="15"/>
        <v>1</v>
      </c>
      <c r="AK59" s="46">
        <f t="shared" si="15"/>
        <v>1</v>
      </c>
      <c r="AL59" s="46">
        <f>MAX(AL55:AL58)-AL60+1</f>
        <v>1</v>
      </c>
      <c r="AM59" s="46">
        <f>MAX(AM55:AM58)-AM60+1</f>
        <v>1</v>
      </c>
      <c r="AO59" s="46">
        <f t="shared" si="15"/>
        <v>1</v>
      </c>
      <c r="AP59" s="46">
        <f t="shared" si="15"/>
        <v>1</v>
      </c>
      <c r="AT59" s="46">
        <f>MAX(AT55:AT58)-MIN(AT55:AT58)+1</f>
        <v>1</v>
      </c>
      <c r="AU59" s="46">
        <f>MAX(AU55:AU58)-MIN(AU55:AU58)+1</f>
        <v>1</v>
      </c>
      <c r="AV59" s="46">
        <f>MAX(AV55:AV58)-MIN(AV55:AV58)+1</f>
        <v>1</v>
      </c>
      <c r="AW59" s="46">
        <f>MAX(AW55:AW58)-MIN(AW55:AW58)+1</f>
        <v>1</v>
      </c>
      <c r="AX59" s="46">
        <f>MAX(AX55:AX58)-MIN(AX55:AX58)+1</f>
        <v>1</v>
      </c>
    </row>
    <row r="60" spans="1:80" ht="16.149999999999999" thickBot="1" x14ac:dyDescent="0.5">
      <c r="D60" s="44"/>
      <c r="E60" s="111"/>
      <c r="F60" s="44"/>
      <c r="G60" s="112"/>
      <c r="H60" s="113"/>
      <c r="I60" s="114"/>
      <c r="J60" s="114"/>
      <c r="K60" s="115"/>
      <c r="L60" s="116"/>
      <c r="AL60" s="46">
        <f>MIN(AL55:AL58)</f>
        <v>0</v>
      </c>
      <c r="AM60" s="46">
        <f>MIN(AM55:AM58)</f>
        <v>0</v>
      </c>
      <c r="BR60" s="168" t="s">
        <v>207</v>
      </c>
      <c r="BS60" s="169"/>
      <c r="BT60" s="169"/>
      <c r="BU60" s="169"/>
      <c r="BV60" s="169"/>
      <c r="BW60" s="169"/>
      <c r="BX60" s="169"/>
      <c r="BY60" s="169"/>
      <c r="BZ60" s="169"/>
      <c r="CA60" s="170"/>
    </row>
    <row r="61" spans="1:80" ht="12.75" customHeight="1" x14ac:dyDescent="0.45">
      <c r="D61" s="171" t="s">
        <v>208</v>
      </c>
      <c r="E61" s="172"/>
      <c r="F61" s="172"/>
      <c r="G61" s="172"/>
      <c r="H61" s="172"/>
      <c r="I61" s="172"/>
      <c r="J61" s="172"/>
      <c r="K61" s="173"/>
      <c r="N61" s="180" t="s">
        <v>209</v>
      </c>
      <c r="O61" s="181"/>
      <c r="P61" s="181"/>
      <c r="Q61" s="181"/>
      <c r="R61" s="181"/>
      <c r="S61" s="181"/>
      <c r="T61" s="182"/>
      <c r="BR61" s="189" t="s">
        <v>210</v>
      </c>
      <c r="BS61" s="190"/>
      <c r="BT61" s="190"/>
      <c r="BU61" s="190"/>
      <c r="BV61" s="190"/>
      <c r="BW61" s="190"/>
      <c r="BX61" s="190"/>
      <c r="BY61" s="190"/>
      <c r="BZ61" s="190"/>
      <c r="CA61" s="117"/>
    </row>
    <row r="62" spans="1:80" ht="12.75" customHeight="1" x14ac:dyDescent="0.45">
      <c r="D62" s="174"/>
      <c r="E62" s="175"/>
      <c r="F62" s="175"/>
      <c r="G62" s="175"/>
      <c r="H62" s="175"/>
      <c r="I62" s="175"/>
      <c r="J62" s="175"/>
      <c r="K62" s="176"/>
      <c r="N62" s="183"/>
      <c r="O62" s="184"/>
      <c r="P62" s="184"/>
      <c r="Q62" s="184"/>
      <c r="R62" s="184"/>
      <c r="S62" s="184"/>
      <c r="T62" s="185"/>
      <c r="BR62" s="191"/>
      <c r="BS62" s="192"/>
      <c r="BT62" s="192"/>
      <c r="BU62" s="192"/>
      <c r="BV62" s="192"/>
      <c r="BW62" s="192"/>
      <c r="BX62" s="192"/>
      <c r="BY62" s="192"/>
      <c r="BZ62" s="192"/>
      <c r="CA62" s="118"/>
    </row>
    <row r="63" spans="1:80" ht="14.25" customHeight="1" x14ac:dyDescent="0.45">
      <c r="D63" s="174"/>
      <c r="E63" s="175"/>
      <c r="F63" s="175"/>
      <c r="G63" s="175"/>
      <c r="H63" s="175"/>
      <c r="I63" s="175"/>
      <c r="J63" s="175"/>
      <c r="K63" s="176"/>
      <c r="N63" s="183"/>
      <c r="O63" s="184"/>
      <c r="P63" s="184"/>
      <c r="Q63" s="184"/>
      <c r="R63" s="184"/>
      <c r="S63" s="184"/>
      <c r="T63" s="185"/>
      <c r="V63" s="46" t="e">
        <f>DATE(2022,12,3)+TIME(4,0,0)+gmt_delta</f>
        <v>#N/A</v>
      </c>
      <c r="W63" s="66" t="str">
        <f>IF(OR(BE15="",BE16=""),"",IF(BE15&gt;BE16,BD15,IF(BE15&lt;BE16,BD16,IF(OR(BF15="",BF16=""),"draw",IF(BF15&gt;BF16,BD15,IF(BF15&lt;BF16,BD16,IF(OR(BG15="",BG16=""),"draw",IF(BG15&gt;BG16,BD15,IF(BG15&lt;BG16,BD16,"draw")))))))))</f>
        <v/>
      </c>
      <c r="X63" s="66" t="str">
        <f>IF(OR(W63="",W63="draw"),INDEX(T,86,lang),W63)</f>
        <v>W49</v>
      </c>
      <c r="BR63" s="191"/>
      <c r="BS63" s="192"/>
      <c r="BT63" s="192"/>
      <c r="BU63" s="192"/>
      <c r="BV63" s="192"/>
      <c r="BW63" s="192"/>
      <c r="BX63" s="192"/>
      <c r="BY63" s="192"/>
      <c r="BZ63" s="192"/>
      <c r="CA63" s="118"/>
    </row>
    <row r="64" spans="1:80" ht="12.75" customHeight="1" x14ac:dyDescent="0.45">
      <c r="D64" s="174"/>
      <c r="E64" s="175"/>
      <c r="F64" s="175"/>
      <c r="G64" s="175"/>
      <c r="H64" s="175"/>
      <c r="I64" s="175"/>
      <c r="J64" s="175"/>
      <c r="K64" s="176"/>
      <c r="N64" s="183"/>
      <c r="O64" s="184"/>
      <c r="P64" s="184"/>
      <c r="Q64" s="184"/>
      <c r="R64" s="184"/>
      <c r="S64" s="184"/>
      <c r="T64" s="185"/>
      <c r="V64" s="46" t="e">
        <f>DATE(2022,12,3)+TIME(8,0,0)+gmt_delta</f>
        <v>#N/A</v>
      </c>
      <c r="W64" s="66" t="str">
        <f>IF(OR(BE19="",BE20=""),"",IF(BE19&gt;BE20,BD19,IF(BE19&lt;BE20,BD20,IF(OR(BF19="",BF20=""),"draw",IF(BF19&gt;BF20,BD19,IF(BF19&lt;BF20,BD20,IF(OR(BG19="",BG20=""),"draw",IF(BG19&gt;BG20,BD19,IF(BG19&lt;BG20,BD20,"draw")))))))))</f>
        <v/>
      </c>
      <c r="X64" s="66" t="str">
        <f>IF(OR(W64="",W64="draw"),INDEX(T,87,lang),W64)</f>
        <v>W50</v>
      </c>
      <c r="BR64" s="191"/>
      <c r="BS64" s="192"/>
      <c r="BT64" s="192"/>
      <c r="BU64" s="192"/>
      <c r="BV64" s="192"/>
      <c r="BW64" s="192"/>
      <c r="BX64" s="192"/>
      <c r="BY64" s="192"/>
      <c r="BZ64" s="192"/>
      <c r="CA64" s="118"/>
    </row>
    <row r="65" spans="1:81" ht="12.75" customHeight="1" x14ac:dyDescent="0.45">
      <c r="D65" s="174"/>
      <c r="E65" s="175"/>
      <c r="F65" s="175"/>
      <c r="G65" s="175"/>
      <c r="H65" s="175"/>
      <c r="I65" s="175"/>
      <c r="J65" s="175"/>
      <c r="K65" s="176"/>
      <c r="N65" s="183"/>
      <c r="O65" s="184"/>
      <c r="P65" s="184"/>
      <c r="Q65" s="184"/>
      <c r="R65" s="184"/>
      <c r="S65" s="184"/>
      <c r="T65" s="185"/>
      <c r="V65" s="46" t="e">
        <f>DATE(2022,12,4)+TIME(8,0,0)+gmt_delta</f>
        <v>#N/A</v>
      </c>
      <c r="W65" s="66" t="str">
        <f>IF(OR(BE31="",BE32=""),"",IF(BE31&gt;BE32,BD31,IF(BE31&lt;BE32,BD32,IF(OR(BF31="",BF32=""),"draw",IF(BF31&gt;BF32,BD31,IF(BF31&lt;BF32,BD32,IF(OR(BG31="",BG32=""),"draw",IF(BG31&gt;BG32,BD31,IF(BG31&lt;BG32,BD32,"draw")))))))))</f>
        <v/>
      </c>
      <c r="X65" s="66" t="str">
        <f>IF(OR(W65="",W65="draw"),INDEX(T,88,lang),W65)</f>
        <v>W51</v>
      </c>
      <c r="BR65" s="191"/>
      <c r="BS65" s="192"/>
      <c r="BT65" s="192"/>
      <c r="BU65" s="192"/>
      <c r="BV65" s="192"/>
      <c r="BW65" s="192"/>
      <c r="BX65" s="192"/>
      <c r="BY65" s="192"/>
      <c r="BZ65" s="192"/>
      <c r="CA65" s="118"/>
    </row>
    <row r="66" spans="1:81" ht="12.75" customHeight="1" x14ac:dyDescent="0.45">
      <c r="D66" s="174"/>
      <c r="E66" s="175"/>
      <c r="F66" s="175"/>
      <c r="G66" s="175"/>
      <c r="H66" s="175"/>
      <c r="I66" s="175"/>
      <c r="J66" s="175"/>
      <c r="K66" s="176"/>
      <c r="N66" s="183"/>
      <c r="O66" s="184"/>
      <c r="P66" s="184"/>
      <c r="Q66" s="184"/>
      <c r="R66" s="184"/>
      <c r="S66" s="184"/>
      <c r="T66" s="185"/>
      <c r="V66" s="46" t="e">
        <f>DATE(2022,12,4)+TIME(4,0,0)+gmt_delta</f>
        <v>#N/A</v>
      </c>
      <c r="W66" s="66" t="str">
        <f>IF(OR(BE35="",BE36=""),"",IF(BE35&gt;BE36,BD35,IF(BE35&lt;BE36,BD36,IF(OR(BF35="",BF36=""),"draw",IF(BF35&gt;BF36,BD35,IF(BF35&lt;BF36,BD36,IF(OR(BG35="",BG36=""),"draw",IF(BG35&gt;BG36,BD35,IF(BG35&lt;BG36,BD36,"draw")))))))))</f>
        <v/>
      </c>
      <c r="X66" s="66" t="str">
        <f>IF(OR(W66="",W66="draw"),INDEX(T,89,lang),W66)</f>
        <v>W52</v>
      </c>
      <c r="BR66" s="191"/>
      <c r="BS66" s="192"/>
      <c r="BT66" s="192"/>
      <c r="BU66" s="192"/>
      <c r="BV66" s="192"/>
      <c r="BW66" s="192"/>
      <c r="BX66" s="192"/>
      <c r="BY66" s="192"/>
      <c r="BZ66" s="192"/>
      <c r="CA66" s="118"/>
    </row>
    <row r="67" spans="1:81" ht="12.75" customHeight="1" thickBot="1" x14ac:dyDescent="0.5">
      <c r="D67" s="177"/>
      <c r="E67" s="178"/>
      <c r="F67" s="178"/>
      <c r="G67" s="178"/>
      <c r="H67" s="178"/>
      <c r="I67" s="178"/>
      <c r="J67" s="178"/>
      <c r="K67" s="179"/>
      <c r="N67" s="186"/>
      <c r="O67" s="187"/>
      <c r="P67" s="187"/>
      <c r="Q67" s="187"/>
      <c r="R67" s="187"/>
      <c r="S67" s="187"/>
      <c r="T67" s="188"/>
      <c r="V67" s="46" t="e">
        <f>DATE(2022,12,5)+TIME(4,0,0)+gmt_delta</f>
        <v>#N/A</v>
      </c>
      <c r="W67" s="66" t="str">
        <f>IF(OR(BE23="",BE24=""),"",IF(BE23&gt;BE24,BD23,IF(BE23&lt;BE24,BD24,IF(OR(BF23="",BF24=""),"draw",IF(BF23&gt;BF24,BD23,IF(BF23&lt;BF24,BD24,IF(OR(BG23="",BG24=""),"draw",IF(BG23&gt;BG24,BD23,IF(BG23&lt;BG24,BD24,"draw")))))))))</f>
        <v/>
      </c>
      <c r="X67" s="66" t="str">
        <f>IF(OR(W67="",W67="draw"),INDEX(T,90,lang),W67)</f>
        <v>W53</v>
      </c>
      <c r="BR67" s="193"/>
      <c r="BS67" s="194"/>
      <c r="BT67" s="194"/>
      <c r="BU67" s="194"/>
      <c r="BV67" s="194"/>
      <c r="BW67" s="194"/>
      <c r="BX67" s="194"/>
      <c r="BY67" s="194"/>
      <c r="BZ67" s="194"/>
      <c r="CA67" s="119"/>
    </row>
    <row r="68" spans="1:81" s="46" customFormat="1" ht="12.75" customHeight="1" x14ac:dyDescent="0.45">
      <c r="A68" s="120"/>
      <c r="B68" s="120"/>
      <c r="C68" s="120"/>
      <c r="D68" s="37"/>
      <c r="E68" s="37"/>
      <c r="F68" s="37"/>
      <c r="G68" s="38"/>
      <c r="H68" s="39"/>
      <c r="I68" s="40"/>
      <c r="J68" s="40"/>
      <c r="K68" s="41"/>
      <c r="L68" s="42"/>
      <c r="M68" s="34"/>
      <c r="N68" s="43"/>
      <c r="O68" s="44"/>
      <c r="P68" s="44"/>
      <c r="Q68" s="44"/>
      <c r="R68" s="44"/>
      <c r="S68" s="44"/>
      <c r="T68" s="44"/>
      <c r="U68" s="45"/>
      <c r="V68" s="46" t="e">
        <f>DATE(2022,12,5)+TIME(8,0,0)+gmt_delta</f>
        <v>#N/A</v>
      </c>
      <c r="W68" s="66" t="str">
        <f>IF(OR(BE27="",BE28=""),"",IF(BE27&gt;BE28,BD27,IF(BE27&lt;BE28,BD28,IF(OR(BF27="",BF28=""),"draw",IF(BF27&gt;BF28,BD27,IF(BF27&lt;BF28,BD28,IF(OR(BG27="",BG28=""),"draw",IF(BG27&gt;BG28,BD27,IF(BG27&lt;BG28,BD28,"draw")))))))))</f>
        <v/>
      </c>
      <c r="X68" s="66" t="str">
        <f>IF(OR(W68="",W68="draw"),INDEX(T,91,lang),W68)</f>
        <v>W54</v>
      </c>
      <c r="Y68" s="47"/>
      <c r="AD68" s="47"/>
      <c r="AF68" s="47"/>
      <c r="AQ68" s="47"/>
      <c r="AR68" s="47"/>
      <c r="AS68" s="47"/>
      <c r="AY68" s="47"/>
      <c r="AZ68" s="47"/>
      <c r="BA68" s="47"/>
      <c r="BB68" s="48"/>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row>
    <row r="69" spans="1:81" s="46" customFormat="1" ht="12.75" customHeight="1" x14ac:dyDescent="0.45">
      <c r="A69" s="120"/>
      <c r="B69" s="120"/>
      <c r="C69" s="120"/>
      <c r="D69" s="37"/>
      <c r="E69" s="37"/>
      <c r="F69" s="37"/>
      <c r="G69" s="38"/>
      <c r="H69" s="39"/>
      <c r="I69" s="40"/>
      <c r="J69" s="40"/>
      <c r="K69" s="41"/>
      <c r="L69" s="42"/>
      <c r="M69" s="34"/>
      <c r="N69" s="43"/>
      <c r="O69" s="44"/>
      <c r="P69" s="44"/>
      <c r="Q69" s="44"/>
      <c r="R69" s="44"/>
      <c r="S69" s="44"/>
      <c r="T69" s="44"/>
      <c r="U69" s="45"/>
      <c r="V69" s="46" t="e">
        <f>DATE(2022,12,6)+TIME(4,0,0)+gmt_delta</f>
        <v>#N/A</v>
      </c>
      <c r="W69" s="66" t="str">
        <f>IF(OR(BE39="",BE40=""),"",IF(BE39&gt;BE40,BD39,IF(BE39&lt;BE40,BD40,IF(OR(BF39="",BF40=""),"draw",IF(BF39&gt;BF40,BD39,IF(BF39&lt;BF40,BD40,IF(OR(BG39="",BG40=""),"draw",IF(BG39&gt;BG40,BD39,IF(BG39&lt;BG40,BD40,"draw")))))))))</f>
        <v/>
      </c>
      <c r="X69" s="66" t="str">
        <f>IF(OR(W69="",W69="draw"),INDEX(T,92,lang),W69)</f>
        <v>W55</v>
      </c>
      <c r="Y69" s="47"/>
      <c r="AD69" s="47"/>
      <c r="AF69" s="47"/>
      <c r="AQ69" s="47"/>
      <c r="AR69" s="47"/>
      <c r="AS69" s="47"/>
      <c r="AY69" s="47"/>
      <c r="AZ69" s="47"/>
      <c r="BA69" s="47"/>
      <c r="BB69" s="48"/>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row>
    <row r="70" spans="1:81" s="46" customFormat="1" ht="12.75" hidden="1" customHeight="1" x14ac:dyDescent="0.45">
      <c r="A70" s="120"/>
      <c r="B70" s="120"/>
      <c r="C70" s="120"/>
      <c r="D70" s="37"/>
      <c r="E70" s="37"/>
      <c r="F70" s="37"/>
      <c r="G70" s="38"/>
      <c r="H70" s="39"/>
      <c r="I70" s="40"/>
      <c r="J70" s="40"/>
      <c r="K70" s="41"/>
      <c r="L70" s="42"/>
      <c r="M70" s="34"/>
      <c r="N70" s="43"/>
      <c r="O70" s="44"/>
      <c r="P70" s="44"/>
      <c r="Q70" s="44"/>
      <c r="R70" s="44"/>
      <c r="S70" s="44"/>
      <c r="T70" s="44"/>
      <c r="U70" s="45"/>
      <c r="V70" s="46" t="e">
        <f>DATE(2022,12,6)+TIME(8,0,0)+gmt_delta</f>
        <v>#N/A</v>
      </c>
      <c r="W70" s="66" t="str">
        <f>IF(OR(BE43="",BE44=""),"",IF(BE43&gt;BE44,BD43,IF(BE43&lt;BE44,BD44,IF(OR(BF43="",BF44=""),"draw",IF(BF43&gt;BF44,BD43,IF(BF43&lt;BF44,BD44,IF(OR(BG43="",BG44=""),"draw",IF(BG43&gt;BG44,BD43,IF(BG43&lt;BG44,BD44,"draw")))))))))</f>
        <v/>
      </c>
      <c r="X70" s="66" t="str">
        <f>IF(OR(W70="",W70="draw"),INDEX(T,93,lang),W70)</f>
        <v>W56</v>
      </c>
      <c r="Y70" s="47"/>
      <c r="AD70" s="47"/>
      <c r="AF70" s="47"/>
      <c r="AQ70" s="47"/>
      <c r="AR70" s="47"/>
      <c r="AS70" s="47"/>
      <c r="AY70" s="47"/>
      <c r="AZ70" s="47"/>
      <c r="BA70" s="47"/>
      <c r="BB70" s="48"/>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row>
    <row r="71" spans="1:81" s="46" customFormat="1" ht="12.75" hidden="1" customHeight="1" x14ac:dyDescent="0.45">
      <c r="A71" s="120"/>
      <c r="B71" s="120"/>
      <c r="C71" s="120"/>
      <c r="D71" s="37"/>
      <c r="E71" s="37"/>
      <c r="F71" s="37"/>
      <c r="G71" s="38"/>
      <c r="H71" s="39"/>
      <c r="I71" s="40"/>
      <c r="J71" s="40"/>
      <c r="K71" s="41"/>
      <c r="L71" s="42"/>
      <c r="M71" s="34"/>
      <c r="N71" s="43"/>
      <c r="O71" s="44"/>
      <c r="P71" s="44"/>
      <c r="Q71" s="44"/>
      <c r="R71" s="44"/>
      <c r="S71" s="44"/>
      <c r="T71" s="44"/>
      <c r="U71" s="45"/>
      <c r="W71" s="66"/>
      <c r="X71" s="66"/>
      <c r="Y71" s="47"/>
      <c r="AD71" s="47"/>
      <c r="AF71" s="47"/>
      <c r="AQ71" s="47"/>
      <c r="AR71" s="47"/>
      <c r="AS71" s="47"/>
      <c r="AY71" s="47"/>
      <c r="AZ71" s="47"/>
      <c r="BA71" s="47"/>
      <c r="BB71" s="48"/>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row>
    <row r="72" spans="1:81" s="46" customFormat="1" ht="12.75" hidden="1" customHeight="1" x14ac:dyDescent="0.45">
      <c r="A72" s="120"/>
      <c r="B72" s="120"/>
      <c r="C72" s="120"/>
      <c r="D72" s="37"/>
      <c r="E72" s="37"/>
      <c r="F72" s="37"/>
      <c r="G72" s="38"/>
      <c r="H72" s="39"/>
      <c r="I72" s="40"/>
      <c r="J72" s="40"/>
      <c r="K72" s="41"/>
      <c r="L72" s="42"/>
      <c r="M72" s="34"/>
      <c r="N72" s="43"/>
      <c r="O72" s="44"/>
      <c r="P72" s="44"/>
      <c r="Q72" s="44"/>
      <c r="R72" s="44"/>
      <c r="S72" s="44"/>
      <c r="T72" s="44"/>
      <c r="U72" s="45"/>
      <c r="W72" s="66"/>
      <c r="X72" s="66"/>
      <c r="Y72" s="47"/>
      <c r="AD72" s="47"/>
      <c r="AF72" s="47"/>
      <c r="AQ72" s="47"/>
      <c r="AR72" s="47"/>
      <c r="AS72" s="47"/>
      <c r="AY72" s="47"/>
      <c r="AZ72" s="47"/>
      <c r="BA72" s="47"/>
      <c r="BB72" s="48"/>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row>
    <row r="73" spans="1:81" s="46" customFormat="1" ht="12.75" hidden="1" customHeight="1" x14ac:dyDescent="0.45">
      <c r="A73" s="120"/>
      <c r="B73" s="120"/>
      <c r="C73" s="120"/>
      <c r="D73" s="37"/>
      <c r="E73" s="37"/>
      <c r="F73" s="37"/>
      <c r="G73" s="38"/>
      <c r="H73" s="39"/>
      <c r="I73" s="40"/>
      <c r="J73" s="40"/>
      <c r="K73" s="41"/>
      <c r="L73" s="42"/>
      <c r="M73" s="34"/>
      <c r="N73" s="43"/>
      <c r="O73" s="44"/>
      <c r="P73" s="44"/>
      <c r="Q73" s="44"/>
      <c r="R73" s="44"/>
      <c r="S73" s="44"/>
      <c r="T73" s="44"/>
      <c r="U73" s="45"/>
      <c r="W73" s="66"/>
      <c r="X73" s="66"/>
      <c r="Y73" s="47"/>
      <c r="AD73" s="47"/>
      <c r="AF73" s="47"/>
      <c r="AQ73" s="47"/>
      <c r="AR73" s="47"/>
      <c r="AS73" s="47"/>
      <c r="AY73" s="47"/>
      <c r="AZ73" s="47"/>
      <c r="BA73" s="47"/>
      <c r="BB73" s="48"/>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row>
    <row r="74" spans="1:81" s="46" customFormat="1" ht="12.75" hidden="1" customHeight="1" x14ac:dyDescent="0.45">
      <c r="A74" s="120"/>
      <c r="B74" s="120"/>
      <c r="C74" s="120"/>
      <c r="D74" s="37"/>
      <c r="E74" s="37"/>
      <c r="F74" s="37"/>
      <c r="G74" s="38"/>
      <c r="H74" s="39"/>
      <c r="I74" s="40"/>
      <c r="J74" s="40"/>
      <c r="K74" s="41"/>
      <c r="L74" s="42"/>
      <c r="M74" s="34"/>
      <c r="N74" s="43"/>
      <c r="O74" s="44"/>
      <c r="P74" s="44"/>
      <c r="Q74" s="44"/>
      <c r="R74" s="44"/>
      <c r="S74" s="44"/>
      <c r="T74" s="44"/>
      <c r="U74" s="45"/>
      <c r="V74" s="46" t="e">
        <f>DATE(2022,12,9)+TIME(8,0,0)+gmt_delta</f>
        <v>#N/A</v>
      </c>
      <c r="W74" s="66" t="str">
        <f>IF(OR(BL17="",BL18=""),"",IF(BL17&gt;BL18,BK17,IF(BL17&lt;BL18,BK18,IF(OR(BM17="",BM18=""),"draw",IF(BM17&gt;BM18,BK17,IF(BM17&lt;BM18,BK18,IF(OR(BN17="",BN18=""),"draw",IF(BN17&gt;BN18,BK17,IF(BN17&lt;BN18,BK18,"draw")))))))))</f>
        <v/>
      </c>
      <c r="X74" s="66" t="str">
        <f>IF(OR(W74="",W74="draw"),INDEX(T,94,lang),W74)</f>
        <v>W57</v>
      </c>
      <c r="Y74" s="47"/>
      <c r="AD74" s="47"/>
      <c r="AF74" s="47"/>
      <c r="AQ74" s="47"/>
      <c r="AR74" s="47"/>
      <c r="AS74" s="47"/>
      <c r="AY74" s="47"/>
      <c r="AZ74" s="47"/>
      <c r="BA74" s="47"/>
      <c r="BB74" s="48"/>
      <c r="BC74" s="34"/>
      <c r="BD74" s="34"/>
      <c r="BE74" s="34"/>
      <c r="BF74" s="34"/>
      <c r="BG74" s="34"/>
      <c r="BH74" s="34"/>
      <c r="BI74" s="34"/>
      <c r="BJ74" s="34"/>
      <c r="BK74" s="34"/>
      <c r="BL74" s="34"/>
      <c r="BM74" s="34"/>
      <c r="BN74" s="34"/>
      <c r="BO74" s="34"/>
      <c r="BP74" s="34"/>
      <c r="BQ74" s="34"/>
      <c r="BR74" s="34"/>
      <c r="BS74" s="34"/>
      <c r="BT74" s="34"/>
      <c r="BU74" s="34"/>
      <c r="BV74" s="34"/>
      <c r="BW74" s="34"/>
      <c r="BX74" s="34"/>
      <c r="BY74" s="34"/>
      <c r="BZ74" s="34"/>
      <c r="CA74" s="34"/>
      <c r="CB74" s="34"/>
      <c r="CC74" s="34"/>
    </row>
    <row r="75" spans="1:81" s="46" customFormat="1" ht="12.75" hidden="1" customHeight="1" x14ac:dyDescent="0.45">
      <c r="A75" s="120"/>
      <c r="B75" s="120"/>
      <c r="C75" s="120"/>
      <c r="D75" s="37"/>
      <c r="E75" s="37"/>
      <c r="F75" s="37"/>
      <c r="G75" s="38"/>
      <c r="H75" s="39"/>
      <c r="I75" s="40"/>
      <c r="J75" s="40"/>
      <c r="K75" s="41"/>
      <c r="L75" s="42"/>
      <c r="M75" s="34"/>
      <c r="N75" s="43"/>
      <c r="O75" s="44"/>
      <c r="P75" s="44"/>
      <c r="Q75" s="44"/>
      <c r="R75" s="44"/>
      <c r="S75" s="44"/>
      <c r="T75" s="44"/>
      <c r="U75" s="45"/>
      <c r="V75" s="46" t="e">
        <f>DATE(2022,12,9)+TIME(4,0,0)+gmt_delta</f>
        <v>#N/A</v>
      </c>
      <c r="W75" s="66" t="str">
        <f>IF(OR(BL25="",BL26=""),"",IF(BL25&gt;BL26,BK25,IF(BL25&lt;BL26,BK26,IF(OR(BM25="",BM26=""),"draw",IF(BM25&gt;BM26,BK25,IF(BM25&lt;BM26,BK26,IF(OR(BN25="",BN26=""),"draw",IF(BN25&gt;BN26,BK25,IF(BN25&lt;BN26,BK26,"draw")))))))))</f>
        <v/>
      </c>
      <c r="X75" s="66" t="str">
        <f>IF(OR(W75="",W75="draw"),INDEX(T,95,lang),W75)</f>
        <v>W58</v>
      </c>
      <c r="Y75" s="47"/>
      <c r="AD75" s="47"/>
      <c r="AF75" s="47"/>
      <c r="AQ75" s="47"/>
      <c r="AR75" s="47"/>
      <c r="AS75" s="47"/>
      <c r="AY75" s="47"/>
      <c r="AZ75" s="47"/>
      <c r="BA75" s="47"/>
      <c r="BB75" s="48"/>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row>
    <row r="76" spans="1:81" s="46" customFormat="1" ht="12.75" hidden="1" customHeight="1" x14ac:dyDescent="0.45">
      <c r="A76" s="120"/>
      <c r="B76" s="120"/>
      <c r="C76" s="120"/>
      <c r="D76" s="37"/>
      <c r="E76" s="37"/>
      <c r="F76" s="37"/>
      <c r="G76" s="38"/>
      <c r="H76" s="39"/>
      <c r="I76" s="40"/>
      <c r="J76" s="40"/>
      <c r="K76" s="41"/>
      <c r="L76" s="42"/>
      <c r="M76" s="34"/>
      <c r="N76" s="43"/>
      <c r="O76" s="44"/>
      <c r="P76" s="44"/>
      <c r="Q76" s="44"/>
      <c r="R76" s="44"/>
      <c r="S76" s="44"/>
      <c r="T76" s="44"/>
      <c r="U76" s="45"/>
      <c r="V76" s="46" t="e">
        <f>DATE(2022,12,10)+TIME(8,0,0)+gmt_delta</f>
        <v>#N/A</v>
      </c>
      <c r="W76" s="66" t="str">
        <f>IF(OR(BL33="",BL34=""),"",IF(BL33&gt;BL34,BK33,IF(BL33&lt;BL34,BK34,IF(OR(BM33="",BM34=""),"draw",IF(BM33&gt;BM34,BK33,IF(BM33&lt;BM34,BK34,IF(OR(BN33="",BN34=""),"draw",IF(BN33&gt;BN34,BK33,IF(BN33&lt;BN34,BK34,"draw")))))))))</f>
        <v/>
      </c>
      <c r="X76" s="66" t="str">
        <f>IF(OR(W76="",W76="draw"),INDEX(T,96,lang),W76)</f>
        <v>W59</v>
      </c>
      <c r="Y76" s="47"/>
      <c r="AD76" s="47"/>
      <c r="AF76" s="47"/>
      <c r="AQ76" s="47"/>
      <c r="AR76" s="47"/>
      <c r="AS76" s="47"/>
      <c r="AY76" s="47"/>
      <c r="AZ76" s="47"/>
      <c r="BA76" s="47"/>
      <c r="BB76" s="48"/>
      <c r="BC76" s="34"/>
      <c r="BD76" s="34"/>
      <c r="BE76" s="34"/>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row>
    <row r="77" spans="1:81" s="46" customFormat="1" ht="12.75" hidden="1" customHeight="1" x14ac:dyDescent="0.45">
      <c r="A77" s="120"/>
      <c r="B77" s="120"/>
      <c r="C77" s="120"/>
      <c r="D77" s="37"/>
      <c r="E77" s="37"/>
      <c r="F77" s="37"/>
      <c r="G77" s="38"/>
      <c r="H77" s="39"/>
      <c r="I77" s="40"/>
      <c r="J77" s="40"/>
      <c r="K77" s="41"/>
      <c r="L77" s="42"/>
      <c r="M77" s="34"/>
      <c r="N77" s="43"/>
      <c r="O77" s="44"/>
      <c r="P77" s="44"/>
      <c r="Q77" s="44"/>
      <c r="R77" s="44"/>
      <c r="S77" s="44"/>
      <c r="T77" s="44"/>
      <c r="U77" s="45"/>
      <c r="V77" s="46" t="e">
        <f>DATE(2022,12,10)+TIME(4,0,0)+gmt_delta</f>
        <v>#N/A</v>
      </c>
      <c r="W77" s="66" t="str">
        <f>IF(OR(BL41="",BL42=""),"",IF(BL41&gt;BL42,BK41,IF(BL41&lt;BL42,BK42,IF(OR(BM41="",BM42=""),"draw",IF(BM41&gt;BM42,BK41,IF(BM41&lt;BM42,BK42,IF(OR(BN41="",BN42=""),"draw",IF(BN41&gt;BN42,BK41,IF(BN41&lt;BN42,BK42,"draw")))))))))</f>
        <v/>
      </c>
      <c r="X77" s="66" t="str">
        <f>IF(OR(W77="",W77="draw"),INDEX(T,97,lang),W77)</f>
        <v>W60</v>
      </c>
      <c r="Y77" s="47"/>
      <c r="AD77" s="47"/>
      <c r="AF77" s="47"/>
      <c r="AQ77" s="47"/>
      <c r="AR77" s="47"/>
      <c r="AS77" s="47"/>
      <c r="AY77" s="47"/>
      <c r="AZ77" s="47"/>
      <c r="BA77" s="47"/>
      <c r="BB77" s="48"/>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row>
    <row r="78" spans="1:81" s="46" customFormat="1" ht="12.75" hidden="1" customHeight="1" x14ac:dyDescent="0.45">
      <c r="A78" s="120"/>
      <c r="B78" s="120"/>
      <c r="C78" s="120"/>
      <c r="D78" s="37"/>
      <c r="E78" s="37"/>
      <c r="F78" s="37"/>
      <c r="G78" s="38"/>
      <c r="H78" s="39"/>
      <c r="I78" s="40"/>
      <c r="J78" s="40"/>
      <c r="K78" s="41"/>
      <c r="L78" s="42"/>
      <c r="M78" s="34"/>
      <c r="N78" s="43"/>
      <c r="O78" s="44"/>
      <c r="P78" s="44"/>
      <c r="Q78" s="44"/>
      <c r="R78" s="44"/>
      <c r="S78" s="44"/>
      <c r="T78" s="44"/>
      <c r="U78" s="45"/>
      <c r="W78" s="66"/>
      <c r="X78" s="66"/>
      <c r="Y78" s="47"/>
      <c r="AD78" s="47"/>
      <c r="AF78" s="47"/>
      <c r="AQ78" s="47"/>
      <c r="AR78" s="47"/>
      <c r="AS78" s="47"/>
      <c r="AY78" s="47"/>
      <c r="AZ78" s="47"/>
      <c r="BA78" s="47"/>
      <c r="BB78" s="48"/>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row>
    <row r="79" spans="1:81" s="46" customFormat="1" ht="12.75" hidden="1" customHeight="1" x14ac:dyDescent="0.45">
      <c r="A79" s="120"/>
      <c r="B79" s="120"/>
      <c r="C79" s="120"/>
      <c r="D79" s="37"/>
      <c r="E79" s="37"/>
      <c r="F79" s="37"/>
      <c r="G79" s="38"/>
      <c r="H79" s="39"/>
      <c r="I79" s="40"/>
      <c r="J79" s="40"/>
      <c r="K79" s="41"/>
      <c r="L79" s="42"/>
      <c r="M79" s="34"/>
      <c r="N79" s="43"/>
      <c r="O79" s="44"/>
      <c r="P79" s="44"/>
      <c r="Q79" s="44"/>
      <c r="R79" s="44"/>
      <c r="S79" s="44"/>
      <c r="T79" s="44"/>
      <c r="U79" s="45"/>
      <c r="W79" s="66"/>
      <c r="X79" s="66"/>
      <c r="Y79" s="47"/>
      <c r="AD79" s="47"/>
      <c r="AF79" s="47"/>
      <c r="AQ79" s="47"/>
      <c r="AR79" s="47"/>
      <c r="AS79" s="47"/>
      <c r="AY79" s="47"/>
      <c r="AZ79" s="47"/>
      <c r="BA79" s="47"/>
      <c r="BB79" s="48"/>
      <c r="BC79" s="34"/>
      <c r="BD79" s="34"/>
      <c r="BE79" s="34"/>
      <c r="BF79" s="34"/>
      <c r="BG79" s="34"/>
      <c r="BH79" s="34"/>
      <c r="BI79" s="34"/>
      <c r="BJ79" s="34"/>
      <c r="BK79" s="34"/>
      <c r="BL79" s="34"/>
      <c r="BM79" s="34"/>
      <c r="BN79" s="34"/>
      <c r="BO79" s="34"/>
      <c r="BP79" s="34"/>
      <c r="BQ79" s="34"/>
      <c r="BR79" s="34"/>
      <c r="BS79" s="34"/>
      <c r="BT79" s="34"/>
      <c r="BU79" s="34"/>
      <c r="BV79" s="34"/>
      <c r="BW79" s="34"/>
      <c r="BX79" s="34"/>
      <c r="BY79" s="34"/>
      <c r="BZ79" s="34"/>
      <c r="CA79" s="34"/>
      <c r="CB79" s="34"/>
      <c r="CC79" s="34"/>
    </row>
    <row r="80" spans="1:81" s="46" customFormat="1" ht="12.75" hidden="1" customHeight="1" x14ac:dyDescent="0.45">
      <c r="A80" s="120"/>
      <c r="B80" s="120"/>
      <c r="C80" s="120"/>
      <c r="D80" s="37"/>
      <c r="E80" s="37"/>
      <c r="F80" s="37"/>
      <c r="G80" s="38"/>
      <c r="H80" s="39"/>
      <c r="I80" s="40"/>
      <c r="J80" s="40"/>
      <c r="K80" s="41"/>
      <c r="L80" s="42"/>
      <c r="M80" s="34"/>
      <c r="N80" s="43"/>
      <c r="O80" s="44"/>
      <c r="P80" s="44"/>
      <c r="Q80" s="44"/>
      <c r="R80" s="44"/>
      <c r="S80" s="44"/>
      <c r="T80" s="44"/>
      <c r="U80" s="45"/>
      <c r="W80" s="66"/>
      <c r="X80" s="66"/>
      <c r="Y80" s="47"/>
      <c r="AD80" s="47"/>
      <c r="AF80" s="47"/>
      <c r="AQ80" s="47"/>
      <c r="AR80" s="47"/>
      <c r="AS80" s="47"/>
      <c r="AY80" s="47"/>
      <c r="AZ80" s="47"/>
      <c r="BA80" s="47"/>
      <c r="BB80" s="48"/>
      <c r="BC80" s="34"/>
      <c r="BD80" s="34"/>
      <c r="BE80" s="34"/>
      <c r="BF80" s="34"/>
      <c r="BG80" s="34"/>
      <c r="BH80" s="34"/>
      <c r="BI80" s="34"/>
      <c r="BJ80" s="34"/>
      <c r="BK80" s="34"/>
      <c r="BL80" s="34"/>
      <c r="BM80" s="34"/>
      <c r="BN80" s="34"/>
      <c r="BO80" s="34"/>
      <c r="BP80" s="34"/>
      <c r="BQ80" s="34"/>
      <c r="BR80" s="34"/>
      <c r="BS80" s="34"/>
      <c r="BT80" s="34"/>
      <c r="BU80" s="34"/>
      <c r="BV80" s="34"/>
      <c r="BW80" s="34"/>
      <c r="BX80" s="34"/>
      <c r="BY80" s="34"/>
      <c r="BZ80" s="34"/>
      <c r="CA80" s="34"/>
      <c r="CB80" s="34"/>
      <c r="CC80" s="34"/>
    </row>
    <row r="81" spans="1:81" s="46" customFormat="1" ht="12.75" hidden="1" customHeight="1" x14ac:dyDescent="0.45">
      <c r="A81" s="120"/>
      <c r="B81" s="120"/>
      <c r="C81" s="120"/>
      <c r="D81" s="37"/>
      <c r="E81" s="37"/>
      <c r="F81" s="37"/>
      <c r="G81" s="38"/>
      <c r="H81" s="39"/>
      <c r="I81" s="40"/>
      <c r="J81" s="40"/>
      <c r="K81" s="41"/>
      <c r="L81" s="42"/>
      <c r="M81" s="34"/>
      <c r="N81" s="43"/>
      <c r="O81" s="44"/>
      <c r="P81" s="44"/>
      <c r="Q81" s="44"/>
      <c r="R81" s="44"/>
      <c r="S81" s="44"/>
      <c r="T81" s="44"/>
      <c r="U81" s="45"/>
      <c r="V81" s="46" t="e">
        <f>DATE(2022,12,13)+TIME(8,0,0)+gmt_delta</f>
        <v>#N/A</v>
      </c>
      <c r="W81" s="66" t="str">
        <f>IF(OR(BS21="",BS22=""),"",IF(BS21&gt;BS22,BR21,IF(BS21&lt;BS22,BR22,IF(OR(BT21="",BT22=""),"draw",IF(BT21&gt;BT22,BR21,IF(BT21&lt;BT22,BR22,IF(OR(BU21="",BU22=""),"draw",IF(BU21&gt;BU22,BR21,IF(BU21&lt;BU22,BR22,"draw")))))))))</f>
        <v/>
      </c>
      <c r="X81" s="66" t="str">
        <f>IF(OR(W81="",W81="draw"),INDEX(T,98,lang),W81)</f>
        <v>W61</v>
      </c>
      <c r="Y81" s="66" t="str">
        <f>IF(OR(BS21="",BS22=""),"",IF(BS21&lt;BS22,BR21,IF(BS21&gt;BS22,BR22,IF(OR(BT21="",BT22=""),"draw",IF(BT21&lt;BT22,BR21,IF(BT21&gt;BT22,BR22,IF(OR(BU21="",BU22=""),"draw",IF(BU21&lt;BU22,BR21,IF(BU21&gt;BU22,BR22,"draw")))))))))</f>
        <v/>
      </c>
      <c r="AD81" s="66" t="str">
        <f>IF(OR(Y81="",Y81="draw"),INDEX(T,100,lang),Y81)</f>
        <v>L61</v>
      </c>
      <c r="AF81" s="47"/>
      <c r="AQ81" s="47"/>
      <c r="AR81" s="47"/>
      <c r="AS81" s="47"/>
      <c r="AY81" s="47"/>
      <c r="AZ81" s="47"/>
      <c r="BA81" s="47"/>
      <c r="BB81" s="48"/>
      <c r="BC81" s="34"/>
      <c r="BD81" s="34"/>
      <c r="BE81" s="34"/>
      <c r="BF81" s="34"/>
      <c r="BG81" s="34"/>
      <c r="BH81" s="34"/>
      <c r="BI81" s="34"/>
      <c r="BJ81" s="34"/>
      <c r="BK81" s="34"/>
      <c r="BL81" s="34"/>
      <c r="BM81" s="34"/>
      <c r="BN81" s="34"/>
      <c r="BO81" s="34"/>
      <c r="BP81" s="34"/>
      <c r="BQ81" s="34"/>
      <c r="BR81" s="34"/>
      <c r="BS81" s="34"/>
      <c r="BT81" s="34"/>
      <c r="BU81" s="34"/>
      <c r="BV81" s="34"/>
      <c r="BW81" s="34"/>
      <c r="BX81" s="34"/>
      <c r="BY81" s="34"/>
      <c r="BZ81" s="34"/>
      <c r="CA81" s="34"/>
      <c r="CB81" s="34"/>
      <c r="CC81" s="34"/>
    </row>
    <row r="82" spans="1:81" s="46" customFormat="1" ht="12.75" hidden="1" customHeight="1" x14ac:dyDescent="0.45">
      <c r="A82" s="120"/>
      <c r="B82" s="120"/>
      <c r="C82" s="120"/>
      <c r="D82" s="37"/>
      <c r="E82" s="37"/>
      <c r="F82" s="37"/>
      <c r="G82" s="38"/>
      <c r="H82" s="39"/>
      <c r="I82" s="40"/>
      <c r="J82" s="40"/>
      <c r="K82" s="41"/>
      <c r="L82" s="42"/>
      <c r="M82" s="34"/>
      <c r="N82" s="43"/>
      <c r="O82" s="44"/>
      <c r="P82" s="44"/>
      <c r="Q82" s="44"/>
      <c r="R82" s="44"/>
      <c r="S82" s="44"/>
      <c r="T82" s="44"/>
      <c r="U82" s="45"/>
      <c r="V82" s="46" t="e">
        <f>DATE(2022,12,14)+TIME(8,0,0)+gmt_delta</f>
        <v>#N/A</v>
      </c>
      <c r="W82" s="66" t="str">
        <f>IF(OR(BS37="",BS38=""),"",IF(BS37&gt;BS38,BR37,IF(BS37&lt;BS38,BR38,IF(OR(BT37="",BT38=""),"draw",IF(BT37&gt;BT38,BR37,IF(BT37&lt;BT38,BR38,IF(OR(BU37="",BU38=""),"draw",IF(BU37&gt;BU38,BR37,IF(BU37&lt;BU38,BR38,"draw")))))))))</f>
        <v/>
      </c>
      <c r="X82" s="66" t="str">
        <f>IF(OR(W82="",W82="draw"),INDEX(T,99,lang),W82)</f>
        <v>W62</v>
      </c>
      <c r="Y82" s="66" t="str">
        <f>IF(OR(BS37="",BS38=""),"",IF(BS37&lt;BS38,BR37,IF(BS37&gt;BS38,BR38,IF(OR(BT37="",BT38=""),"draw",IF(BT37&lt;BT38,BR37,IF(BT37&gt;BT38,BR38,IF(OR(BU37="",BU38=""),"draw",IF(BU37&lt;BU38,BR37,IF(BU37&gt;BU38,BR38,"draw")))))))))</f>
        <v/>
      </c>
      <c r="AD82" s="66" t="str">
        <f>IF(OR(Y82="",Y82="draw"),INDEX(T,101,lang),Y82)</f>
        <v>L62</v>
      </c>
      <c r="AF82" s="47"/>
      <c r="AQ82" s="47"/>
      <c r="AR82" s="47"/>
      <c r="AS82" s="47"/>
      <c r="AY82" s="47"/>
      <c r="AZ82" s="47"/>
      <c r="BA82" s="47"/>
      <c r="BB82" s="48"/>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row>
    <row r="84" spans="1:81" s="47" customFormat="1" ht="12.75" hidden="1" customHeight="1" x14ac:dyDescent="0.45">
      <c r="A84" s="121"/>
      <c r="B84" s="121"/>
      <c r="C84" s="121"/>
      <c r="D84" s="37"/>
      <c r="E84" s="37"/>
      <c r="F84" s="37"/>
      <c r="G84" s="38"/>
      <c r="H84" s="39"/>
      <c r="I84" s="40"/>
      <c r="J84" s="40"/>
      <c r="K84" s="41"/>
      <c r="L84" s="42"/>
      <c r="M84" s="34"/>
      <c r="N84" s="43"/>
      <c r="O84" s="44"/>
      <c r="P84" s="44"/>
      <c r="Q84" s="44"/>
      <c r="R84" s="44"/>
      <c r="S84" s="44"/>
      <c r="T84" s="44"/>
      <c r="U84" s="45"/>
      <c r="V84" s="46"/>
      <c r="W84" s="66"/>
      <c r="X84" s="66"/>
      <c r="Z84" s="46"/>
      <c r="AA84" s="46"/>
      <c r="AB84" s="46"/>
      <c r="AC84" s="46"/>
      <c r="AE84" s="46"/>
      <c r="AG84" s="46"/>
      <c r="AH84" s="46"/>
      <c r="AI84" s="46"/>
      <c r="AJ84" s="46"/>
      <c r="AK84" s="46"/>
      <c r="AL84" s="46"/>
      <c r="AM84" s="46"/>
      <c r="AN84" s="46"/>
      <c r="AO84" s="46"/>
      <c r="AP84" s="46"/>
      <c r="AT84" s="46"/>
      <c r="AU84" s="46"/>
      <c r="AV84" s="46"/>
      <c r="AW84" s="46"/>
      <c r="AX84" s="46"/>
      <c r="BB84" s="48"/>
      <c r="BC84" s="34"/>
      <c r="BD84" s="34"/>
      <c r="BE84" s="34"/>
      <c r="BF84" s="34"/>
      <c r="BG84" s="34"/>
      <c r="BH84" s="34"/>
      <c r="BI84" s="34"/>
      <c r="BJ84" s="34"/>
      <c r="BK84" s="34"/>
      <c r="BL84" s="34"/>
      <c r="BM84" s="34"/>
      <c r="BN84" s="34"/>
      <c r="BO84" s="34"/>
      <c r="BP84" s="34"/>
      <c r="BQ84" s="34"/>
      <c r="BR84" s="34"/>
      <c r="BS84" s="34"/>
      <c r="BT84" s="34"/>
      <c r="BU84" s="34"/>
      <c r="BV84" s="34"/>
      <c r="BW84" s="34"/>
      <c r="BX84" s="34"/>
      <c r="BY84" s="34"/>
      <c r="BZ84" s="34"/>
      <c r="CA84" s="34"/>
      <c r="CB84" s="34"/>
      <c r="CC84" s="34"/>
    </row>
    <row r="85" spans="1:81" s="47" customFormat="1" ht="12.75" hidden="1" customHeight="1" x14ac:dyDescent="0.45">
      <c r="A85" s="121"/>
      <c r="B85" s="121"/>
      <c r="C85" s="121"/>
      <c r="D85" s="37"/>
      <c r="E85" s="37"/>
      <c r="F85" s="37"/>
      <c r="G85" s="38"/>
      <c r="H85" s="39"/>
      <c r="I85" s="40"/>
      <c r="J85" s="40"/>
      <c r="K85" s="41"/>
      <c r="L85" s="42"/>
      <c r="M85" s="34"/>
      <c r="N85" s="43"/>
      <c r="O85" s="44"/>
      <c r="P85" s="44"/>
      <c r="Q85" s="44"/>
      <c r="R85" s="44"/>
      <c r="S85" s="44"/>
      <c r="T85" s="44"/>
      <c r="U85" s="45"/>
      <c r="V85" s="46"/>
      <c r="W85" s="66"/>
      <c r="X85" s="66"/>
      <c r="Z85" s="46"/>
      <c r="AA85" s="46"/>
      <c r="AB85" s="46"/>
      <c r="AC85" s="46"/>
      <c r="AE85" s="46"/>
      <c r="AG85" s="46"/>
      <c r="AH85" s="46"/>
      <c r="AI85" s="46"/>
      <c r="AJ85" s="46"/>
      <c r="AK85" s="46"/>
      <c r="AL85" s="46"/>
      <c r="AM85" s="46"/>
      <c r="AN85" s="46"/>
      <c r="AO85" s="46"/>
      <c r="AP85" s="46"/>
      <c r="AT85" s="46"/>
      <c r="AU85" s="46"/>
      <c r="AV85" s="46"/>
      <c r="AW85" s="46"/>
      <c r="AX85" s="46"/>
      <c r="BB85" s="48"/>
      <c r="BC85" s="34"/>
      <c r="BD85" s="34"/>
      <c r="BE85" s="34"/>
      <c r="BF85" s="34"/>
      <c r="BG85" s="34"/>
      <c r="BH85" s="34"/>
      <c r="BI85" s="34"/>
      <c r="BJ85" s="34"/>
      <c r="BK85" s="34"/>
      <c r="BL85" s="34"/>
      <c r="BM85" s="34"/>
      <c r="BN85" s="34"/>
      <c r="BO85" s="34"/>
      <c r="BP85" s="34"/>
      <c r="BQ85" s="34"/>
      <c r="BR85" s="34"/>
      <c r="BS85" s="34"/>
      <c r="BT85" s="34"/>
      <c r="BU85" s="34"/>
      <c r="BV85" s="34"/>
      <c r="BW85" s="34"/>
      <c r="BX85" s="34"/>
      <c r="BY85" s="34"/>
      <c r="BZ85" s="34"/>
      <c r="CA85" s="34"/>
      <c r="CB85" s="34"/>
      <c r="CC85" s="34"/>
    </row>
    <row r="86" spans="1:81" s="47" customFormat="1" hidden="1" x14ac:dyDescent="0.45">
      <c r="A86" s="121"/>
      <c r="B86" s="121"/>
      <c r="C86" s="121"/>
      <c r="D86" s="37"/>
      <c r="E86" s="37"/>
      <c r="F86" s="37"/>
      <c r="G86" s="38"/>
      <c r="H86" s="39"/>
      <c r="I86" s="40"/>
      <c r="J86" s="40"/>
      <c r="K86" s="41"/>
      <c r="L86" s="42"/>
      <c r="M86" s="34"/>
      <c r="N86" s="43"/>
      <c r="O86" s="44"/>
      <c r="P86" s="44"/>
      <c r="Q86" s="44"/>
      <c r="R86" s="44"/>
      <c r="S86" s="44"/>
      <c r="T86" s="44"/>
      <c r="U86" s="45"/>
      <c r="V86" s="46" t="e">
        <f>DATE(2022,12,17)+TIME(8,0,0)+gmt_delta</f>
        <v>#N/A</v>
      </c>
      <c r="W86" s="66"/>
      <c r="X86" s="66" t="str">
        <f>IF(OR(BZ40="",BZ41=""),"",IF(BZ40&gt;BZ41,BY40,IF(BZ40&lt;BZ41,BY41,IF(OR(CA40="",CA41=""),"",IF(CA40&gt;CA41,BY40,IF(CA40&lt;CA41,BY41,IF(OR(CB40="",CB41=""),"",IF(CB40&gt;CB41,BY40,IF(CB40&lt;CB41,BY41,"")))))))))</f>
        <v/>
      </c>
      <c r="Z86" s="46"/>
      <c r="AA86" s="46"/>
      <c r="AB86" s="46"/>
      <c r="AC86" s="46"/>
      <c r="AE86" s="46"/>
      <c r="AG86" s="46"/>
      <c r="AH86" s="46"/>
      <c r="AI86" s="46"/>
      <c r="AJ86" s="46"/>
      <c r="AK86" s="46"/>
      <c r="AL86" s="46"/>
      <c r="AM86" s="46"/>
      <c r="AN86" s="46"/>
      <c r="AO86" s="46"/>
      <c r="AP86" s="46"/>
      <c r="AT86" s="46"/>
      <c r="AU86" s="46"/>
      <c r="AV86" s="46"/>
      <c r="AW86" s="46"/>
      <c r="AX86" s="46"/>
      <c r="BB86" s="48"/>
      <c r="BC86" s="34"/>
      <c r="BD86" s="34"/>
      <c r="BE86" s="34"/>
      <c r="BF86" s="34"/>
      <c r="BG86" s="34"/>
      <c r="BH86" s="34"/>
      <c r="BI86" s="34"/>
      <c r="BJ86" s="34"/>
      <c r="BK86" s="34"/>
      <c r="BL86" s="34"/>
      <c r="BM86" s="34"/>
      <c r="BN86" s="34"/>
      <c r="BO86" s="34"/>
      <c r="BP86" s="34"/>
      <c r="BQ86" s="34"/>
      <c r="BR86" s="34"/>
      <c r="BS86" s="34"/>
      <c r="BT86" s="34"/>
      <c r="BU86" s="34"/>
      <c r="BV86" s="34"/>
      <c r="BW86" s="34"/>
      <c r="BX86" s="34"/>
      <c r="BY86" s="34"/>
      <c r="BZ86" s="34"/>
      <c r="CA86" s="34"/>
      <c r="CB86" s="34"/>
      <c r="CC86" s="34"/>
    </row>
    <row r="88" spans="1:81" s="47" customFormat="1" ht="12.75" hidden="1" customHeight="1" x14ac:dyDescent="0.45">
      <c r="A88" s="121"/>
      <c r="B88" s="121"/>
      <c r="C88" s="121"/>
      <c r="D88" s="37"/>
      <c r="E88" s="37"/>
      <c r="F88" s="37"/>
      <c r="G88" s="38"/>
      <c r="H88" s="39"/>
      <c r="I88" s="40"/>
      <c r="J88" s="40"/>
      <c r="K88" s="41"/>
      <c r="L88" s="42"/>
      <c r="M88" s="34"/>
      <c r="N88" s="43"/>
      <c r="O88" s="44"/>
      <c r="P88" s="44"/>
      <c r="Q88" s="44"/>
      <c r="R88" s="44"/>
      <c r="S88" s="44"/>
      <c r="T88" s="44"/>
      <c r="U88" s="45"/>
      <c r="V88" s="46"/>
      <c r="W88" s="66"/>
      <c r="X88" s="66"/>
      <c r="Z88" s="46"/>
      <c r="AA88" s="46"/>
      <c r="AB88" s="46"/>
      <c r="AC88" s="46"/>
      <c r="AE88" s="46"/>
      <c r="AG88" s="46"/>
      <c r="AH88" s="46"/>
      <c r="AI88" s="46"/>
      <c r="AJ88" s="46"/>
      <c r="AK88" s="46"/>
      <c r="AL88" s="46"/>
      <c r="AM88" s="46"/>
      <c r="AN88" s="46"/>
      <c r="AO88" s="46"/>
      <c r="AP88" s="46"/>
      <c r="AT88" s="46"/>
      <c r="AU88" s="46"/>
      <c r="AV88" s="46"/>
      <c r="AW88" s="46"/>
      <c r="AX88" s="46"/>
      <c r="BB88" s="48"/>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row>
    <row r="89" spans="1:81" s="47" customFormat="1" ht="12.75" hidden="1" customHeight="1" x14ac:dyDescent="0.45">
      <c r="A89" s="121"/>
      <c r="B89" s="121"/>
      <c r="C89" s="121"/>
      <c r="D89" s="37"/>
      <c r="E89" s="37"/>
      <c r="F89" s="37"/>
      <c r="G89" s="38"/>
      <c r="H89" s="39"/>
      <c r="I89" s="40"/>
      <c r="J89" s="40"/>
      <c r="K89" s="41"/>
      <c r="L89" s="42"/>
      <c r="M89" s="34"/>
      <c r="N89" s="43"/>
      <c r="O89" s="44"/>
      <c r="P89" s="44"/>
      <c r="Q89" s="44"/>
      <c r="R89" s="44"/>
      <c r="S89" s="44"/>
      <c r="T89" s="44"/>
      <c r="U89" s="45"/>
      <c r="V89" s="46"/>
      <c r="W89" s="66"/>
      <c r="X89" s="66"/>
      <c r="Z89" s="46"/>
      <c r="AA89" s="46"/>
      <c r="AB89" s="46"/>
      <c r="AC89" s="46"/>
      <c r="AE89" s="46"/>
      <c r="AG89" s="46"/>
      <c r="AH89" s="46"/>
      <c r="AI89" s="46"/>
      <c r="AJ89" s="46"/>
      <c r="AK89" s="46"/>
      <c r="AL89" s="46"/>
      <c r="AM89" s="46"/>
      <c r="AN89" s="46"/>
      <c r="AO89" s="46"/>
      <c r="AP89" s="46"/>
      <c r="AT89" s="46"/>
      <c r="AU89" s="46"/>
      <c r="AV89" s="46"/>
      <c r="AW89" s="46"/>
      <c r="AX89" s="46"/>
      <c r="BB89" s="48"/>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row>
    <row r="90" spans="1:81" s="47" customFormat="1" hidden="1" x14ac:dyDescent="0.45">
      <c r="A90" s="121"/>
      <c r="B90" s="121"/>
      <c r="C90" s="121"/>
      <c r="D90" s="37"/>
      <c r="E90" s="37"/>
      <c r="F90" s="37"/>
      <c r="G90" s="38"/>
      <c r="H90" s="39"/>
      <c r="I90" s="40"/>
      <c r="J90" s="40"/>
      <c r="K90" s="41"/>
      <c r="L90" s="42"/>
      <c r="M90" s="34"/>
      <c r="N90" s="43"/>
      <c r="O90" s="44"/>
      <c r="P90" s="44"/>
      <c r="Q90" s="44"/>
      <c r="R90" s="44"/>
      <c r="S90" s="44"/>
      <c r="T90" s="44"/>
      <c r="U90" s="45"/>
      <c r="V90" s="46" t="e">
        <f>DATE(2022,12,18)+TIME(8,0,0)+gmt_delta</f>
        <v>#N/A</v>
      </c>
      <c r="W90" s="122" t="str">
        <f>IF(OR(BZ28="",BZ29=""),"",IF(BZ28&gt;BZ29,BY28,IF(BZ28&lt;BZ29,BY29,IF(OR(CA28="",CA29=""),"",IF(CA28&gt;CA29,BY28,IF(CA28&lt;CA29,BY29,IF(OR(CB28="",CB29=""),"",IF(CB28&gt;CB29,BY28,IF(CB28&lt;CB29,BY29,"")))))))))</f>
        <v/>
      </c>
      <c r="X90" s="122" t="str">
        <f>W90</f>
        <v/>
      </c>
      <c r="Z90" s="46"/>
      <c r="AA90" s="46"/>
      <c r="AB90" s="46"/>
      <c r="AC90" s="46"/>
      <c r="AE90" s="46"/>
      <c r="AG90" s="46"/>
      <c r="AH90" s="46"/>
      <c r="AI90" s="46"/>
      <c r="AJ90" s="46"/>
      <c r="AK90" s="46"/>
      <c r="AL90" s="46"/>
      <c r="AM90" s="46"/>
      <c r="AN90" s="46"/>
      <c r="AO90" s="46"/>
      <c r="AP90" s="46"/>
      <c r="AT90" s="46"/>
      <c r="AU90" s="46"/>
      <c r="AV90" s="46"/>
      <c r="AW90" s="46"/>
      <c r="AX90" s="46"/>
      <c r="BB90" s="48"/>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row>
    <row r="91" spans="1:81" s="47" customFormat="1" hidden="1" x14ac:dyDescent="0.45">
      <c r="A91" s="121"/>
      <c r="B91" s="121"/>
      <c r="C91" s="121"/>
      <c r="D91" s="37"/>
      <c r="E91" s="37"/>
      <c r="F91" s="37"/>
      <c r="G91" s="38"/>
      <c r="H91" s="39"/>
      <c r="I91" s="40"/>
      <c r="J91" s="40"/>
      <c r="K91" s="41"/>
      <c r="L91" s="42"/>
      <c r="M91" s="34"/>
      <c r="N91" s="43"/>
      <c r="O91" s="44"/>
      <c r="P91" s="44"/>
      <c r="Q91" s="44"/>
      <c r="R91" s="44"/>
      <c r="S91" s="44"/>
      <c r="T91" s="44"/>
      <c r="U91" s="45"/>
      <c r="V91" s="46"/>
      <c r="W91" s="122" t="str">
        <f>IF(OR(BZ29="",BZ30=""),"",IF(BZ29&gt;BZ30,BY29,IF(BZ29&lt;BZ30,BY30,IF(OR(CA29="",CA30=""),"",IF(CA29&gt;CA30,BY29,IF(CA29&lt;CA30,BY30,IF(OR(CB29="",CB30=""),"",IF(CB29&gt;CB30,BY29,IF(CB29&lt;CB30,BY30,"")))))))))</f>
        <v/>
      </c>
      <c r="X91" s="66"/>
      <c r="Z91" s="46"/>
      <c r="AA91" s="46"/>
      <c r="AB91" s="46"/>
      <c r="AC91" s="46"/>
      <c r="AE91" s="46"/>
      <c r="AG91" s="46"/>
      <c r="AH91" s="46"/>
      <c r="AI91" s="46"/>
      <c r="AJ91" s="46"/>
      <c r="AK91" s="46"/>
      <c r="AL91" s="46"/>
      <c r="AM91" s="46"/>
      <c r="AN91" s="46"/>
      <c r="AO91" s="46"/>
      <c r="AP91" s="46"/>
      <c r="AT91" s="46"/>
      <c r="AU91" s="46"/>
      <c r="AV91" s="46"/>
      <c r="AW91" s="46"/>
      <c r="AX91" s="46"/>
      <c r="BB91" s="48"/>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row>
    <row r="92" spans="1:81" s="47" customFormat="1" ht="12.75" hidden="1" customHeight="1" x14ac:dyDescent="0.45">
      <c r="A92" s="121"/>
      <c r="B92" s="121"/>
      <c r="C92" s="121"/>
      <c r="D92" s="37"/>
      <c r="E92" s="37"/>
      <c r="F92" s="37"/>
      <c r="G92" s="38"/>
      <c r="H92" s="39"/>
      <c r="I92" s="40"/>
      <c r="J92" s="40"/>
      <c r="K92" s="41"/>
      <c r="L92" s="42"/>
      <c r="M92" s="34"/>
      <c r="N92" s="43"/>
      <c r="O92" s="44"/>
      <c r="P92" s="44"/>
      <c r="Q92" s="44"/>
      <c r="R92" s="44"/>
      <c r="S92" s="44"/>
      <c r="T92" s="44"/>
      <c r="U92" s="45"/>
      <c r="V92" s="46"/>
      <c r="W92" s="66"/>
      <c r="X92" s="66"/>
      <c r="Z92" s="46"/>
      <c r="AA92" s="46"/>
      <c r="AB92" s="46"/>
      <c r="AC92" s="46"/>
      <c r="AE92" s="46"/>
      <c r="AG92" s="46"/>
      <c r="AH92" s="46"/>
      <c r="AI92" s="46"/>
      <c r="AJ92" s="46"/>
      <c r="AK92" s="46"/>
      <c r="AL92" s="46"/>
      <c r="AM92" s="46"/>
      <c r="AN92" s="46"/>
      <c r="AO92" s="46"/>
      <c r="AP92" s="46"/>
      <c r="AT92" s="46"/>
      <c r="AU92" s="46"/>
      <c r="AV92" s="46"/>
      <c r="AW92" s="46"/>
      <c r="AX92" s="46"/>
      <c r="BB92" s="48"/>
      <c r="BC92" s="34"/>
      <c r="BD92" s="34"/>
      <c r="BE92" s="34"/>
      <c r="BF92" s="34"/>
      <c r="BG92" s="34"/>
      <c r="BH92" s="34"/>
      <c r="BI92" s="34"/>
      <c r="BJ92" s="34"/>
      <c r="BK92" s="34"/>
      <c r="BL92" s="34"/>
      <c r="BM92" s="34"/>
      <c r="BN92" s="34"/>
      <c r="BO92" s="34"/>
      <c r="BP92" s="34"/>
      <c r="BQ92" s="34"/>
      <c r="BR92" s="34"/>
      <c r="BS92" s="34"/>
      <c r="BT92" s="34"/>
      <c r="BU92" s="34"/>
      <c r="BV92" s="34"/>
      <c r="BW92" s="34"/>
      <c r="BX92" s="34"/>
      <c r="BY92" s="34"/>
      <c r="BZ92" s="34"/>
      <c r="CA92" s="34"/>
      <c r="CB92" s="34"/>
      <c r="CC92" s="34"/>
    </row>
    <row r="93" spans="1:81" s="47" customFormat="1" ht="12.75" hidden="1" customHeight="1" x14ac:dyDescent="0.45">
      <c r="A93" s="121"/>
      <c r="B93" s="121"/>
      <c r="C93" s="121"/>
      <c r="D93" s="37"/>
      <c r="E93" s="37"/>
      <c r="F93" s="37"/>
      <c r="G93" s="38"/>
      <c r="H93" s="39"/>
      <c r="I93" s="40"/>
      <c r="J93" s="40"/>
      <c r="K93" s="41"/>
      <c r="L93" s="42"/>
      <c r="M93" s="34"/>
      <c r="N93" s="43"/>
      <c r="O93" s="44"/>
      <c r="P93" s="44"/>
      <c r="Q93" s="44"/>
      <c r="R93" s="44"/>
      <c r="S93" s="44"/>
      <c r="T93" s="44"/>
      <c r="U93" s="45"/>
      <c r="V93" s="46"/>
      <c r="W93" s="66"/>
      <c r="X93" s="66"/>
      <c r="Z93" s="46"/>
      <c r="AA93" s="46"/>
      <c r="AB93" s="46"/>
      <c r="AC93" s="46"/>
      <c r="AE93" s="46"/>
      <c r="AG93" s="46"/>
      <c r="AH93" s="46"/>
      <c r="AI93" s="46"/>
      <c r="AJ93" s="46"/>
      <c r="AK93" s="46"/>
      <c r="AL93" s="46"/>
      <c r="AM93" s="46"/>
      <c r="AN93" s="46"/>
      <c r="AO93" s="46"/>
      <c r="AP93" s="46"/>
      <c r="AT93" s="46"/>
      <c r="AU93" s="46"/>
      <c r="AV93" s="46"/>
      <c r="AW93" s="46"/>
      <c r="AX93" s="46"/>
      <c r="BB93" s="48"/>
      <c r="BC93" s="34"/>
      <c r="BD93" s="34"/>
      <c r="BE93" s="34"/>
      <c r="BF93" s="34"/>
      <c r="BG93" s="34"/>
      <c r="BH93" s="34"/>
      <c r="BI93" s="34"/>
      <c r="BJ93" s="34"/>
      <c r="BK93" s="34"/>
      <c r="BL93" s="34"/>
      <c r="BM93" s="34"/>
      <c r="BN93" s="34"/>
      <c r="BO93" s="34"/>
      <c r="BP93" s="34"/>
      <c r="BQ93" s="34"/>
      <c r="BR93" s="34"/>
      <c r="BS93" s="34"/>
      <c r="BT93" s="34"/>
      <c r="BU93" s="34"/>
      <c r="BV93" s="34"/>
      <c r="BW93" s="34"/>
      <c r="BX93" s="34"/>
      <c r="BY93" s="34"/>
      <c r="BZ93" s="34"/>
      <c r="CA93" s="34"/>
      <c r="CB93" s="34"/>
      <c r="CC93" s="34"/>
    </row>
    <row r="101" spans="1:81" s="37" customFormat="1" ht="12.75" hidden="1" customHeight="1" x14ac:dyDescent="0.45">
      <c r="A101" s="123"/>
      <c r="B101" s="123"/>
      <c r="C101" s="123"/>
      <c r="G101" s="38"/>
      <c r="H101" s="39"/>
      <c r="I101" s="40"/>
      <c r="J101" s="40"/>
      <c r="K101" s="41"/>
      <c r="L101" s="42"/>
      <c r="M101" s="34"/>
      <c r="N101" s="43"/>
      <c r="O101" s="44"/>
      <c r="P101" s="44"/>
      <c r="Q101" s="44"/>
      <c r="R101" s="44"/>
      <c r="S101" s="44"/>
      <c r="T101" s="44"/>
      <c r="U101" s="45"/>
      <c r="V101" s="46"/>
      <c r="W101" s="66"/>
      <c r="X101" s="66"/>
      <c r="Y101" s="47"/>
      <c r="Z101" s="46"/>
      <c r="AA101" s="46"/>
      <c r="AB101" s="46"/>
      <c r="AC101" s="46"/>
      <c r="AD101" s="47"/>
      <c r="AE101" s="46"/>
      <c r="AF101" s="47"/>
      <c r="AG101" s="46"/>
      <c r="AH101" s="46"/>
      <c r="AI101" s="46"/>
      <c r="AJ101" s="46"/>
      <c r="AK101" s="46"/>
      <c r="AL101" s="46"/>
      <c r="AM101" s="46"/>
      <c r="AN101" s="46"/>
      <c r="AO101" s="46"/>
      <c r="AP101" s="46"/>
      <c r="AQ101" s="47"/>
      <c r="AR101" s="47"/>
      <c r="AS101" s="47"/>
      <c r="AT101" s="46"/>
      <c r="AU101" s="46"/>
      <c r="AV101" s="46"/>
      <c r="AW101" s="46"/>
      <c r="AX101" s="46"/>
      <c r="AY101" s="47"/>
      <c r="AZ101" s="47"/>
      <c r="BA101" s="47"/>
      <c r="BB101" s="48"/>
      <c r="BC101" s="34"/>
      <c r="BD101" s="34"/>
      <c r="BE101" s="34"/>
      <c r="BF101" s="34"/>
      <c r="BG101" s="34"/>
      <c r="BH101" s="34"/>
      <c r="BI101" s="34"/>
      <c r="BJ101" s="34"/>
      <c r="BK101" s="34"/>
      <c r="BL101" s="34"/>
      <c r="BM101" s="34"/>
      <c r="BN101" s="34"/>
      <c r="BO101" s="34"/>
      <c r="BP101" s="34"/>
      <c r="BQ101" s="34"/>
      <c r="BR101" s="34"/>
      <c r="BS101" s="34"/>
      <c r="BT101" s="34"/>
      <c r="BU101" s="34"/>
      <c r="BV101" s="34"/>
      <c r="BW101" s="34"/>
      <c r="BX101" s="34"/>
      <c r="BY101" s="34"/>
      <c r="BZ101" s="34"/>
      <c r="CA101" s="34"/>
      <c r="CB101" s="34"/>
      <c r="CC101" s="34"/>
    </row>
    <row r="102" spans="1:81" s="37" customFormat="1" ht="12.75" hidden="1" customHeight="1" x14ac:dyDescent="0.45">
      <c r="A102" s="123"/>
      <c r="B102" s="123"/>
      <c r="C102" s="123"/>
      <c r="G102" s="38"/>
      <c r="H102" s="39"/>
      <c r="I102" s="40"/>
      <c r="J102" s="40"/>
      <c r="K102" s="41"/>
      <c r="L102" s="42"/>
      <c r="M102" s="34"/>
      <c r="N102" s="43"/>
      <c r="O102" s="44"/>
      <c r="P102" s="44"/>
      <c r="Q102" s="44"/>
      <c r="R102" s="44"/>
      <c r="S102" s="44"/>
      <c r="T102" s="44"/>
      <c r="U102" s="45"/>
      <c r="V102" s="46"/>
      <c r="W102" s="66"/>
      <c r="X102" s="66"/>
      <c r="Y102" s="47"/>
      <c r="Z102" s="46"/>
      <c r="AA102" s="46"/>
      <c r="AB102" s="46"/>
      <c r="AC102" s="46"/>
      <c r="AD102" s="47"/>
      <c r="AE102" s="46"/>
      <c r="AF102" s="47"/>
      <c r="AG102" s="46"/>
      <c r="AH102" s="46"/>
      <c r="AI102" s="46"/>
      <c r="AJ102" s="46"/>
      <c r="AK102" s="46"/>
      <c r="AL102" s="46"/>
      <c r="AM102" s="46"/>
      <c r="AN102" s="46"/>
      <c r="AO102" s="46"/>
      <c r="AP102" s="46"/>
      <c r="AQ102" s="47"/>
      <c r="AR102" s="47"/>
      <c r="AS102" s="47"/>
      <c r="AT102" s="46"/>
      <c r="AU102" s="46"/>
      <c r="AV102" s="46"/>
      <c r="AW102" s="46"/>
      <c r="AX102" s="46"/>
      <c r="AY102" s="47"/>
      <c r="AZ102" s="47"/>
      <c r="BA102" s="47"/>
      <c r="BB102" s="48"/>
      <c r="BC102" s="34"/>
      <c r="BD102" s="34"/>
      <c r="BE102" s="34"/>
      <c r="BF102" s="34"/>
      <c r="BG102" s="34"/>
      <c r="BH102" s="34"/>
      <c r="BI102" s="34"/>
      <c r="BJ102" s="34"/>
      <c r="BK102" s="34"/>
      <c r="BL102" s="34"/>
      <c r="BM102" s="34"/>
      <c r="BN102" s="34"/>
      <c r="BO102" s="34"/>
      <c r="BP102" s="34"/>
      <c r="BQ102" s="34"/>
      <c r="BR102" s="34"/>
      <c r="BS102" s="34"/>
      <c r="BT102" s="34"/>
      <c r="BU102" s="34"/>
      <c r="BV102" s="34"/>
      <c r="BW102" s="34"/>
      <c r="BX102" s="34"/>
      <c r="BY102" s="34"/>
      <c r="BZ102" s="34"/>
      <c r="CA102" s="34"/>
      <c r="CB102" s="34"/>
      <c r="CC102" s="34"/>
    </row>
  </sheetData>
  <sheetProtection algorithmName="SHA-512" hashValue="ItBZr9NlaUbbqxO0XWYwJJ+LIhZY+LwdPVSTVCKi/wz64evJuuLgcI3UJmGIXHjmf+ql2AdndfAgW6eC0mS0NA==" saltValue="O5w2oAW47rf3tHR0xV1E+w==" spinCount="100000" sheet="1" selectLockedCells="1"/>
  <dataConsolidate/>
  <mergeCells count="42">
    <mergeCell ref="D10:K11"/>
    <mergeCell ref="N10:T11"/>
    <mergeCell ref="E1:BD1"/>
    <mergeCell ref="E2:G2"/>
    <mergeCell ref="P2:R2"/>
    <mergeCell ref="S2:BD2"/>
    <mergeCell ref="D7:T7"/>
    <mergeCell ref="BC7:CC7"/>
    <mergeCell ref="BJ25:BJ26"/>
    <mergeCell ref="BC9:BG11"/>
    <mergeCell ref="BJ9:BN11"/>
    <mergeCell ref="BQ9:BU11"/>
    <mergeCell ref="BX9:CB11"/>
    <mergeCell ref="BC15:BC16"/>
    <mergeCell ref="BJ17:BJ18"/>
    <mergeCell ref="BC19:BC20"/>
    <mergeCell ref="BQ21:BQ22"/>
    <mergeCell ref="BC23:BC24"/>
    <mergeCell ref="BV54:CB55"/>
    <mergeCell ref="BC27:BC28"/>
    <mergeCell ref="BX28:BX29"/>
    <mergeCell ref="BC31:BC32"/>
    <mergeCell ref="BJ33:BJ34"/>
    <mergeCell ref="BC35:BC36"/>
    <mergeCell ref="BX36:CB37"/>
    <mergeCell ref="BQ37:BQ38"/>
    <mergeCell ref="BR60:CA60"/>
    <mergeCell ref="D61:K67"/>
    <mergeCell ref="N61:T67"/>
    <mergeCell ref="BR61:BZ67"/>
    <mergeCell ref="BC39:BC40"/>
    <mergeCell ref="BX40:BX41"/>
    <mergeCell ref="BJ41:BJ42"/>
    <mergeCell ref="BC43:BC44"/>
    <mergeCell ref="BP46:BU47"/>
    <mergeCell ref="BV46:CB47"/>
    <mergeCell ref="BC47:BG49"/>
    <mergeCell ref="BP49:BU50"/>
    <mergeCell ref="BV49:CB50"/>
    <mergeCell ref="BP52:BU53"/>
    <mergeCell ref="BV52:CB53"/>
    <mergeCell ref="BP54:BU55"/>
  </mergeCells>
  <conditionalFormatting sqref="I60">
    <cfRule type="expression" dxfId="234" priority="160" stopIfTrue="1">
      <formula>IF(AND($I60&gt;$J60,ISNUMBER($I60),ISNUMBER($J60)),1,0)</formula>
    </cfRule>
  </conditionalFormatting>
  <conditionalFormatting sqref="J60">
    <cfRule type="expression" dxfId="233" priority="161" stopIfTrue="1">
      <formula>IF(AND($I60&lt;$J60,ISNUMBER($I60),ISNUMBER($J60)),1,0)</formula>
    </cfRule>
  </conditionalFormatting>
  <conditionalFormatting sqref="N20:T20 N14:T14 N50:T50 N26:T26 N32:T32 N38:T38 N44:T44 N56:T56">
    <cfRule type="expression" dxfId="232" priority="162" stopIfTrue="1">
      <formula>IF(SUM($O14:$O17)=12,1,0)</formula>
    </cfRule>
  </conditionalFormatting>
  <conditionalFormatting sqref="N21:T21 N15:T15 N51:T51 N27:T27 N33:T33 N39:T39 N45:T45 N57:T57">
    <cfRule type="expression" dxfId="231" priority="163" stopIfTrue="1">
      <formula>IF(SUM($O14:$O17)=12,1,0)</formula>
    </cfRule>
  </conditionalFormatting>
  <conditionalFormatting sqref="N23:T23 N17:T17 N53:T53 N29:T29 N35:T35 N41:T41 N47:T47 N59:T60">
    <cfRule type="expression" dxfId="230" priority="164" stopIfTrue="1">
      <formula>IF(SUM($O14:$O17)=12,1,0)</formula>
    </cfRule>
  </conditionalFormatting>
  <conditionalFormatting sqref="N16:T16 N22:T22 N28:T28 N34:T34 N40:T40 N46:T46 N52:T52 N58:T58">
    <cfRule type="expression" dxfId="229" priority="165" stopIfTrue="1">
      <formula>IF(SUM($O14:$O17)=12,1,0)</formula>
    </cfRule>
  </conditionalFormatting>
  <conditionalFormatting sqref="BE15">
    <cfRule type="expression" dxfId="228" priority="166" stopIfTrue="1">
      <formula>IF(AND($BE15&gt;$BE16,ISNUMBER($BE15),ISNUMBER($BE16)),1,0)</formula>
    </cfRule>
  </conditionalFormatting>
  <conditionalFormatting sqref="BE16">
    <cfRule type="expression" dxfId="227" priority="167" stopIfTrue="1">
      <formula>IF(AND($BE15&lt;$BE16,ISNUMBER($BE15),ISNUMBER($BE16)),1,0)</formula>
    </cfRule>
  </conditionalFormatting>
  <conditionalFormatting sqref="BD15">
    <cfRule type="expression" dxfId="226" priority="168" stopIfTrue="1">
      <formula>IF($BD15=$X63,1,0)</formula>
    </cfRule>
    <cfRule type="expression" dxfId="225" priority="169" stopIfTrue="1">
      <formula>IF($BD16=$X63,1,0)</formula>
    </cfRule>
  </conditionalFormatting>
  <conditionalFormatting sqref="BD16">
    <cfRule type="expression" dxfId="224" priority="170" stopIfTrue="1">
      <formula>IF($BD16=$X63,1,0)</formula>
    </cfRule>
    <cfRule type="expression" dxfId="223" priority="171" stopIfTrue="1">
      <formula>IF($BD15=$X63,1,0)</formula>
    </cfRule>
  </conditionalFormatting>
  <conditionalFormatting sqref="BD19">
    <cfRule type="expression" dxfId="222" priority="172" stopIfTrue="1">
      <formula>IF($BD19=$X64,1,0)</formula>
    </cfRule>
    <cfRule type="expression" dxfId="221" priority="173" stopIfTrue="1">
      <formula>IF($BD20=$X64,1,0)</formula>
    </cfRule>
  </conditionalFormatting>
  <conditionalFormatting sqref="BD20">
    <cfRule type="expression" dxfId="220" priority="174" stopIfTrue="1">
      <formula>IF($BD20=$X64,1,0)</formula>
    </cfRule>
    <cfRule type="expression" dxfId="219" priority="175" stopIfTrue="1">
      <formula>IF($BD19=$X64,1,0)</formula>
    </cfRule>
  </conditionalFormatting>
  <conditionalFormatting sqref="BD39">
    <cfRule type="expression" dxfId="218" priority="176" stopIfTrue="1">
      <formula>IF($BD39=$X69,1,0)</formula>
    </cfRule>
    <cfRule type="expression" dxfId="217" priority="177" stopIfTrue="1">
      <formula>IF($BD40=$X69,1,0)</formula>
    </cfRule>
  </conditionalFormatting>
  <conditionalFormatting sqref="BD40">
    <cfRule type="expression" dxfId="216" priority="178" stopIfTrue="1">
      <formula>IF($BD40=$X69,1,0)</formula>
    </cfRule>
    <cfRule type="expression" dxfId="215" priority="179" stopIfTrue="1">
      <formula>IF($BD39=$X69,1,0)</formula>
    </cfRule>
  </conditionalFormatting>
  <conditionalFormatting sqref="BD43">
    <cfRule type="expression" dxfId="214" priority="180" stopIfTrue="1">
      <formula>IF($BD43=$X70,1,0)</formula>
    </cfRule>
    <cfRule type="expression" dxfId="213" priority="181" stopIfTrue="1">
      <formula>IF($BD44=$X70,1,0)</formula>
    </cfRule>
  </conditionalFormatting>
  <conditionalFormatting sqref="BD44">
    <cfRule type="expression" dxfId="212" priority="182" stopIfTrue="1">
      <formula>IF($BD44=$X70,1,0)</formula>
    </cfRule>
    <cfRule type="expression" dxfId="211" priority="183" stopIfTrue="1">
      <formula>IF($BD43=$X70,1,0)</formula>
    </cfRule>
  </conditionalFormatting>
  <conditionalFormatting sqref="BD31">
    <cfRule type="expression" dxfId="210" priority="184" stopIfTrue="1">
      <formula>IF($BD31=$X65,1,0)</formula>
    </cfRule>
    <cfRule type="expression" dxfId="209" priority="185" stopIfTrue="1">
      <formula>IF($BD32=$X65,1,0)</formula>
    </cfRule>
  </conditionalFormatting>
  <conditionalFormatting sqref="BD32">
    <cfRule type="expression" dxfId="208" priority="186" stopIfTrue="1">
      <formula>IF($BD32=$X65,1,0)</formula>
    </cfRule>
    <cfRule type="expression" dxfId="207" priority="187" stopIfTrue="1">
      <formula>IF($BD31=$X65,1,0)</formula>
    </cfRule>
  </conditionalFormatting>
  <conditionalFormatting sqref="BD35">
    <cfRule type="expression" dxfId="206" priority="188" stopIfTrue="1">
      <formula>IF($BD35=$X66,1,0)</formula>
    </cfRule>
    <cfRule type="expression" dxfId="205" priority="189" stopIfTrue="1">
      <formula>IF($BD36=$X66,1,0)</formula>
    </cfRule>
  </conditionalFormatting>
  <conditionalFormatting sqref="BD36">
    <cfRule type="expression" dxfId="204" priority="190" stopIfTrue="1">
      <formula>IF($BD36=$X66,1,0)</formula>
    </cfRule>
    <cfRule type="expression" dxfId="203" priority="191" stopIfTrue="1">
      <formula>IF($BD35=$X66,1,0)</formula>
    </cfRule>
  </conditionalFormatting>
  <conditionalFormatting sqref="BD23">
    <cfRule type="expression" dxfId="202" priority="192" stopIfTrue="1">
      <formula>IF($BD23=$X67,1,0)</formula>
    </cfRule>
    <cfRule type="expression" dxfId="201" priority="193" stopIfTrue="1">
      <formula>IF($BD24=$X67,1,0)</formula>
    </cfRule>
  </conditionalFormatting>
  <conditionalFormatting sqref="BD24">
    <cfRule type="expression" dxfId="200" priority="194" stopIfTrue="1">
      <formula>IF($BD24=$X67,1,0)</formula>
    </cfRule>
    <cfRule type="expression" dxfId="199" priority="195" stopIfTrue="1">
      <formula>IF($BD23=$X67,1,0)</formula>
    </cfRule>
  </conditionalFormatting>
  <conditionalFormatting sqref="BD27">
    <cfRule type="expression" dxfId="198" priority="196" stopIfTrue="1">
      <formula>IF($BD27=$X68,1,0)</formula>
    </cfRule>
    <cfRule type="expression" dxfId="197" priority="197" stopIfTrue="1">
      <formula>IF($BD28=$X68,1,0)</formula>
    </cfRule>
  </conditionalFormatting>
  <conditionalFormatting sqref="BD28">
    <cfRule type="expression" dxfId="196" priority="198" stopIfTrue="1">
      <formula>IF($BD28=$X68,1,0)</formula>
    </cfRule>
    <cfRule type="expression" dxfId="195" priority="199" stopIfTrue="1">
      <formula>IF($BD27=$X68,1,0)</formula>
    </cfRule>
  </conditionalFormatting>
  <conditionalFormatting sqref="BK17">
    <cfRule type="expression" dxfId="194" priority="200" stopIfTrue="1">
      <formula>IF($BK17=$X74,1,0)</formula>
    </cfRule>
    <cfRule type="expression" dxfId="193" priority="201" stopIfTrue="1">
      <formula>IF($BK18=$X74,1,0)</formula>
    </cfRule>
  </conditionalFormatting>
  <conditionalFormatting sqref="BK18">
    <cfRule type="expression" dxfId="192" priority="202" stopIfTrue="1">
      <formula>IF($BK18=$X74,1,0)</formula>
    </cfRule>
    <cfRule type="expression" dxfId="191" priority="203" stopIfTrue="1">
      <formula>IF($BK17=$X74,1,0)</formula>
    </cfRule>
  </conditionalFormatting>
  <conditionalFormatting sqref="BK25">
    <cfRule type="expression" dxfId="190" priority="204" stopIfTrue="1">
      <formula>IF($BK25=$X75,1,0)</formula>
    </cfRule>
    <cfRule type="expression" dxfId="189" priority="205" stopIfTrue="1">
      <formula>IF($BK26=$X75,1,0)</formula>
    </cfRule>
  </conditionalFormatting>
  <conditionalFormatting sqref="BK26">
    <cfRule type="expression" dxfId="188" priority="206" stopIfTrue="1">
      <formula>IF($BK26=$X75,1,0)</formula>
    </cfRule>
    <cfRule type="expression" dxfId="187" priority="207" stopIfTrue="1">
      <formula>IF($BK25=$X75,1,0)</formula>
    </cfRule>
  </conditionalFormatting>
  <conditionalFormatting sqref="BK33">
    <cfRule type="expression" dxfId="186" priority="208" stopIfTrue="1">
      <formula>IF($BK33=$X76,1,0)</formula>
    </cfRule>
    <cfRule type="expression" dxfId="185" priority="209" stopIfTrue="1">
      <formula>IF($BK34=$X76,1,0)</formula>
    </cfRule>
  </conditionalFormatting>
  <conditionalFormatting sqref="BK34">
    <cfRule type="expression" dxfId="184" priority="210" stopIfTrue="1">
      <formula>IF($BK34=$X76,1,0)</formula>
    </cfRule>
    <cfRule type="expression" dxfId="183" priority="211" stopIfTrue="1">
      <formula>IF($BK33=$X76,1,0)</formula>
    </cfRule>
  </conditionalFormatting>
  <conditionalFormatting sqref="BK41">
    <cfRule type="expression" dxfId="182" priority="212" stopIfTrue="1">
      <formula>IF($BK41=$X77,1,0)</formula>
    </cfRule>
    <cfRule type="expression" dxfId="181" priority="213" stopIfTrue="1">
      <formula>IF($BK42=$X77,1,0)</formula>
    </cfRule>
  </conditionalFormatting>
  <conditionalFormatting sqref="BK42">
    <cfRule type="expression" dxfId="180" priority="214" stopIfTrue="1">
      <formula>IF($BK42=$X77,1,0)</formula>
    </cfRule>
    <cfRule type="expression" dxfId="179" priority="215" stopIfTrue="1">
      <formula>IF($BK41=$X77,1,0)</formula>
    </cfRule>
  </conditionalFormatting>
  <conditionalFormatting sqref="BR21">
    <cfRule type="expression" dxfId="178" priority="216" stopIfTrue="1">
      <formula>IF($BR21=$X81,1,0)</formula>
    </cfRule>
    <cfRule type="expression" dxfId="177" priority="217" stopIfTrue="1">
      <formula>IF($BR22=$X81,1,0)</formula>
    </cfRule>
  </conditionalFormatting>
  <conditionalFormatting sqref="BR22">
    <cfRule type="expression" dxfId="176" priority="218" stopIfTrue="1">
      <formula>IF($BR22=$X81,1,0)</formula>
    </cfRule>
    <cfRule type="expression" dxfId="175" priority="219" stopIfTrue="1">
      <formula>IF($BR21=$X81,1,0)</formula>
    </cfRule>
  </conditionalFormatting>
  <conditionalFormatting sqref="BR37">
    <cfRule type="expression" dxfId="174" priority="220" stopIfTrue="1">
      <formula>IF($BR37=$X82,1,0)</formula>
    </cfRule>
    <cfRule type="expression" dxfId="173" priority="221" stopIfTrue="1">
      <formula>IF($BR38=$X82,1,0)</formula>
    </cfRule>
  </conditionalFormatting>
  <conditionalFormatting sqref="BR38">
    <cfRule type="expression" dxfId="172" priority="222" stopIfTrue="1">
      <formula>IF($BR38=$X82,1,0)</formula>
    </cfRule>
    <cfRule type="expression" dxfId="171" priority="223" stopIfTrue="1">
      <formula>IF($BR37=$X82,1,0)</formula>
    </cfRule>
  </conditionalFormatting>
  <conditionalFormatting sqref="BY28">
    <cfRule type="expression" dxfId="170" priority="224" stopIfTrue="1">
      <formula>IF($BY28=$X90,1,0)</formula>
    </cfRule>
    <cfRule type="expression" dxfId="169" priority="225" stopIfTrue="1">
      <formula>IF($BY29=$X90,1,0)</formula>
    </cfRule>
  </conditionalFormatting>
  <conditionalFormatting sqref="BY29">
    <cfRule type="expression" dxfId="168" priority="226" stopIfTrue="1">
      <formula>IF($BY29=$X90,1,0)</formula>
    </cfRule>
    <cfRule type="expression" dxfId="167" priority="227" stopIfTrue="1">
      <formula>IF($BY28=$X90,1,0)</formula>
    </cfRule>
  </conditionalFormatting>
  <conditionalFormatting sqref="BY40">
    <cfRule type="expression" dxfId="166" priority="228" stopIfTrue="1">
      <formula>IF($BY40=$X86,1,0)</formula>
    </cfRule>
    <cfRule type="expression" dxfId="165" priority="229" stopIfTrue="1">
      <formula>IF($BY41=$X86,1,0)</formula>
    </cfRule>
  </conditionalFormatting>
  <conditionalFormatting sqref="BY41">
    <cfRule type="expression" dxfId="164" priority="230" stopIfTrue="1">
      <formula>IF($BY41=$X86,1,0)</formula>
    </cfRule>
    <cfRule type="expression" dxfId="163" priority="231" stopIfTrue="1">
      <formula>IF($BY40=$X86,1,0)</formula>
    </cfRule>
  </conditionalFormatting>
  <conditionalFormatting sqref="D12:G59">
    <cfRule type="expression" dxfId="162" priority="159">
      <formula>IF($AB12=1,1,0)</formula>
    </cfRule>
  </conditionalFormatting>
  <conditionalFormatting sqref="BE19">
    <cfRule type="expression" dxfId="161" priority="157" stopIfTrue="1">
      <formula>IF(AND($BE19&gt;$BE20,ISNUMBER($BE19),ISNUMBER($BE20)),1,0)</formula>
    </cfRule>
  </conditionalFormatting>
  <conditionalFormatting sqref="BE20">
    <cfRule type="expression" dxfId="160" priority="158" stopIfTrue="1">
      <formula>IF(AND($BE19&lt;$BE20,ISNUMBER($BE19),ISNUMBER($BE20)),1,0)</formula>
    </cfRule>
  </conditionalFormatting>
  <conditionalFormatting sqref="BE23">
    <cfRule type="expression" dxfId="159" priority="155" stopIfTrue="1">
      <formula>IF(AND($BE23&gt;$BE24,ISNUMBER($BE23),ISNUMBER($BE24)),1,0)</formula>
    </cfRule>
  </conditionalFormatting>
  <conditionalFormatting sqref="BE24">
    <cfRule type="expression" dxfId="158" priority="156" stopIfTrue="1">
      <formula>IF(AND($BE23&lt;$BE24,ISNUMBER($BE23),ISNUMBER($BE24)),1,0)</formula>
    </cfRule>
  </conditionalFormatting>
  <conditionalFormatting sqref="BL17">
    <cfRule type="expression" dxfId="157" priority="153" stopIfTrue="1">
      <formula>IF(AND($BE17&gt;$BE18,ISNUMBER($BE17),ISNUMBER($BE18)),1,0)</formula>
    </cfRule>
  </conditionalFormatting>
  <conditionalFormatting sqref="BL18">
    <cfRule type="expression" dxfId="156" priority="154" stopIfTrue="1">
      <formula>IF(AND($BE17&lt;$BE18,ISNUMBER($BE17),ISNUMBER($BE18)),1,0)</formula>
    </cfRule>
  </conditionalFormatting>
  <conditionalFormatting sqref="BS21">
    <cfRule type="expression" dxfId="155" priority="151" stopIfTrue="1">
      <formula>IF(AND($BE21&gt;$BE22,ISNUMBER($BE21),ISNUMBER($BE22)),1,0)</formula>
    </cfRule>
  </conditionalFormatting>
  <conditionalFormatting sqref="BS22">
    <cfRule type="expression" dxfId="154" priority="152" stopIfTrue="1">
      <formula>IF(AND($BE21&lt;$BE22,ISNUMBER($BE21),ISNUMBER($BE22)),1,0)</formula>
    </cfRule>
  </conditionalFormatting>
  <conditionalFormatting sqref="BZ28">
    <cfRule type="expression" dxfId="153" priority="149" stopIfTrue="1">
      <formula>IF(AND($BE28&gt;$BE29,ISNUMBER($BE28),ISNUMBER($BE29)),1,0)</formula>
    </cfRule>
  </conditionalFormatting>
  <conditionalFormatting sqref="BZ29">
    <cfRule type="expression" dxfId="152" priority="150" stopIfTrue="1">
      <formula>IF(AND($BE28&lt;$BE29,ISNUMBER($BE28),ISNUMBER($BE29)),1,0)</formula>
    </cfRule>
  </conditionalFormatting>
  <conditionalFormatting sqref="BL25">
    <cfRule type="expression" dxfId="151" priority="147" stopIfTrue="1">
      <formula>IF(AND($BE25&gt;$BE26,ISNUMBER($BE25),ISNUMBER($BE26)),1,0)</formula>
    </cfRule>
  </conditionalFormatting>
  <conditionalFormatting sqref="BL26">
    <cfRule type="expression" dxfId="150" priority="148" stopIfTrue="1">
      <formula>IF(AND($BE25&lt;$BE26,ISNUMBER($BE25),ISNUMBER($BE26)),1,0)</formula>
    </cfRule>
  </conditionalFormatting>
  <conditionalFormatting sqref="BL33">
    <cfRule type="expression" dxfId="149" priority="145" stopIfTrue="1">
      <formula>IF(AND($BE33&gt;$BE34,ISNUMBER($BE33),ISNUMBER($BE34)),1,0)</formula>
    </cfRule>
  </conditionalFormatting>
  <conditionalFormatting sqref="BL34">
    <cfRule type="expression" dxfId="148" priority="146" stopIfTrue="1">
      <formula>IF(AND($BE33&lt;$BE34,ISNUMBER($BE33),ISNUMBER($BE34)),1,0)</formula>
    </cfRule>
  </conditionalFormatting>
  <conditionalFormatting sqref="BE27">
    <cfRule type="expression" dxfId="147" priority="143" stopIfTrue="1">
      <formula>IF(AND($BE27&gt;$BE28,ISNUMBER($BE27),ISNUMBER($BE28)),1,0)</formula>
    </cfRule>
  </conditionalFormatting>
  <conditionalFormatting sqref="BE28">
    <cfRule type="expression" dxfId="146" priority="144" stopIfTrue="1">
      <formula>IF(AND($BE27&lt;$BE28,ISNUMBER($BE27),ISNUMBER($BE28)),1,0)</formula>
    </cfRule>
  </conditionalFormatting>
  <conditionalFormatting sqref="BE31">
    <cfRule type="expression" dxfId="145" priority="141" stopIfTrue="1">
      <formula>IF(AND($BE31&gt;$BE32,ISNUMBER($BE31),ISNUMBER($BE32)),1,0)</formula>
    </cfRule>
  </conditionalFormatting>
  <conditionalFormatting sqref="BE32">
    <cfRule type="expression" dxfId="144" priority="142" stopIfTrue="1">
      <formula>IF(AND($BE31&lt;$BE32,ISNUMBER($BE31),ISNUMBER($BE32)),1,0)</formula>
    </cfRule>
  </conditionalFormatting>
  <conditionalFormatting sqref="BZ40">
    <cfRule type="expression" dxfId="143" priority="139" stopIfTrue="1">
      <formula>IF(AND($BE40&gt;$BE41,ISNUMBER($BE40),ISNUMBER($BE41)),1,0)</formula>
    </cfRule>
  </conditionalFormatting>
  <conditionalFormatting sqref="BZ41">
    <cfRule type="expression" dxfId="142" priority="140" stopIfTrue="1">
      <formula>IF(AND($BE40&lt;$BE41,ISNUMBER($BE40),ISNUMBER($BE41)),1,0)</formula>
    </cfRule>
  </conditionalFormatting>
  <conditionalFormatting sqref="BS37">
    <cfRule type="expression" dxfId="141" priority="137" stopIfTrue="1">
      <formula>IF(AND($BE37&gt;$BE38,ISNUMBER($BE37),ISNUMBER($BE38)),1,0)</formula>
    </cfRule>
  </conditionalFormatting>
  <conditionalFormatting sqref="BS38">
    <cfRule type="expression" dxfId="140" priority="138" stopIfTrue="1">
      <formula>IF(AND($BE37&lt;$BE38,ISNUMBER($BE37),ISNUMBER($BE38)),1,0)</formula>
    </cfRule>
  </conditionalFormatting>
  <conditionalFormatting sqref="BL41">
    <cfRule type="expression" dxfId="139" priority="135" stopIfTrue="1">
      <formula>IF(AND($BE41&gt;$BE42,ISNUMBER($BE41),ISNUMBER($BE42)),1,0)</formula>
    </cfRule>
  </conditionalFormatting>
  <conditionalFormatting sqref="BL42">
    <cfRule type="expression" dxfId="138" priority="136" stopIfTrue="1">
      <formula>IF(AND($BE41&lt;$BE42,ISNUMBER($BE41),ISNUMBER($BE42)),1,0)</formula>
    </cfRule>
  </conditionalFormatting>
  <conditionalFormatting sqref="BE43">
    <cfRule type="expression" dxfId="137" priority="133" stopIfTrue="1">
      <formula>IF(AND($BE43&gt;$BE44,ISNUMBER($BE43),ISNUMBER($BE44)),1,0)</formula>
    </cfRule>
  </conditionalFormatting>
  <conditionalFormatting sqref="BE44">
    <cfRule type="expression" dxfId="136" priority="134" stopIfTrue="1">
      <formula>IF(AND($BE43&lt;$BE44,ISNUMBER($BE43),ISNUMBER($BE44)),1,0)</formula>
    </cfRule>
  </conditionalFormatting>
  <conditionalFormatting sqref="BE39">
    <cfRule type="expression" dxfId="135" priority="131" stopIfTrue="1">
      <formula>IF(AND($BE39&gt;$BE40,ISNUMBER($BE39),ISNUMBER($BE40)),1,0)</formula>
    </cfRule>
  </conditionalFormatting>
  <conditionalFormatting sqref="BE40">
    <cfRule type="expression" dxfId="134" priority="132" stopIfTrue="1">
      <formula>IF(AND($BE39&lt;$BE40,ISNUMBER($BE39),ISNUMBER($BE40)),1,0)</formula>
    </cfRule>
  </conditionalFormatting>
  <conditionalFormatting sqref="BE35">
    <cfRule type="expression" dxfId="133" priority="129" stopIfTrue="1">
      <formula>IF(AND($BE35&gt;$BE36,ISNUMBER($BE35),ISNUMBER($BE36)),1,0)</formula>
    </cfRule>
  </conditionalFormatting>
  <conditionalFormatting sqref="BE36">
    <cfRule type="expression" dxfId="132" priority="130" stopIfTrue="1">
      <formula>IF(AND($BE35&lt;$BE36,ISNUMBER($BE35),ISNUMBER($BE36)),1,0)</formula>
    </cfRule>
  </conditionalFormatting>
  <conditionalFormatting sqref="BF27">
    <cfRule type="expression" dxfId="131" priority="126">
      <formula>IF(AND(BE27&lt;&gt;"",BE27=BE28),TRUE,FALSE)</formula>
    </cfRule>
    <cfRule type="expression" dxfId="130" priority="128" stopIfTrue="1">
      <formula>IF(AND($BF27&gt;$BF28,ISNUMBER($BF27),ISNUMBER($BF28)),1,0)</formula>
    </cfRule>
  </conditionalFormatting>
  <conditionalFormatting sqref="BF28">
    <cfRule type="expression" dxfId="129" priority="125">
      <formula>IF(AND(BE28&lt;&gt;"",BE27=BE28),TRUE,FALSE)</formula>
    </cfRule>
    <cfRule type="expression" dxfId="128" priority="127" stopIfTrue="1">
      <formula>IF(AND($BF27&lt;$BF28,ISNUMBER($BF27),ISNUMBER($BF28)),1,0)</formula>
    </cfRule>
  </conditionalFormatting>
  <conditionalFormatting sqref="BG27">
    <cfRule type="expression" dxfId="127" priority="122">
      <formula>IF(AND(BE27&lt;&gt;"",BF27&lt;&gt;"",BF27=BF28,BE27=BE28),TRUE,FALSE)</formula>
    </cfRule>
    <cfRule type="expression" dxfId="126" priority="123" stopIfTrue="1">
      <formula>IF(AND($BG27&gt;$BG28,ISNUMBER($BG27),ISNUMBER($BG28)),1,0)</formula>
    </cfRule>
  </conditionalFormatting>
  <conditionalFormatting sqref="BG28">
    <cfRule type="expression" dxfId="125" priority="121">
      <formula>IF(AND(BE28&lt;&gt;"",BF28&lt;&gt;"",BF27=BF28,BE27=BE28),TRUE,FALSE)</formula>
    </cfRule>
    <cfRule type="expression" dxfId="124" priority="124" stopIfTrue="1">
      <formula>IF(AND($BG27&lt;$BG28,ISNUMBER($BG27),ISNUMBER($BG28)),1,0)</formula>
    </cfRule>
  </conditionalFormatting>
  <conditionalFormatting sqref="BF15">
    <cfRule type="expression" dxfId="123" priority="118">
      <formula>IF(AND(BE15&lt;&gt;"",BE15=BE16),TRUE,FALSE)</formula>
    </cfRule>
    <cfRule type="expression" dxfId="122" priority="120" stopIfTrue="1">
      <formula>IF(AND($BF15&gt;$BF16,ISNUMBER($BF15),ISNUMBER($BF16)),1,0)</formula>
    </cfRule>
  </conditionalFormatting>
  <conditionalFormatting sqref="BF16">
    <cfRule type="expression" dxfId="121" priority="117">
      <formula>IF(AND(BE16&lt;&gt;"",BE15=BE16),TRUE,FALSE)</formula>
    </cfRule>
    <cfRule type="expression" dxfId="120" priority="119" stopIfTrue="1">
      <formula>IF(AND($BF15&lt;$BF16,ISNUMBER($BF15),ISNUMBER($BF16)),1,0)</formula>
    </cfRule>
  </conditionalFormatting>
  <conditionalFormatting sqref="BG15">
    <cfRule type="expression" dxfId="119" priority="114">
      <formula>IF(AND(BE15&lt;&gt;"",BF15&lt;&gt;"",BF15=BF16,BE15=BE16),TRUE,FALSE)</formula>
    </cfRule>
    <cfRule type="expression" dxfId="118" priority="115" stopIfTrue="1">
      <formula>IF(AND($BG15&gt;$BG16,ISNUMBER($BG15),ISNUMBER($BG16)),1,0)</formula>
    </cfRule>
  </conditionalFormatting>
  <conditionalFormatting sqref="BG16">
    <cfRule type="expression" dxfId="117" priority="113">
      <formula>IF(AND(BE16&lt;&gt;"",BF16&lt;&gt;"",BF15=BF16,BE15=BE16),TRUE,FALSE)</formula>
    </cfRule>
    <cfRule type="expression" dxfId="116" priority="116" stopIfTrue="1">
      <formula>IF(AND($BG15&lt;$BG16,ISNUMBER($BG15),ISNUMBER($BG16)),1,0)</formula>
    </cfRule>
  </conditionalFormatting>
  <conditionalFormatting sqref="BF19">
    <cfRule type="expression" dxfId="115" priority="110">
      <formula>IF(AND(BE19&lt;&gt;"",BE19=BE20),TRUE,FALSE)</formula>
    </cfRule>
    <cfRule type="expression" dxfId="114" priority="112" stopIfTrue="1">
      <formula>IF(AND($BF19&gt;$BF20,ISNUMBER($BF19),ISNUMBER($BF20)),1,0)</formula>
    </cfRule>
  </conditionalFormatting>
  <conditionalFormatting sqref="BF20">
    <cfRule type="expression" dxfId="113" priority="109">
      <formula>IF(AND(BE20&lt;&gt;"",BE19=BE20),TRUE,FALSE)</formula>
    </cfRule>
    <cfRule type="expression" dxfId="112" priority="111" stopIfTrue="1">
      <formula>IF(AND($BF19&lt;$BF20,ISNUMBER($BF19),ISNUMBER($BF20)),1,0)</formula>
    </cfRule>
  </conditionalFormatting>
  <conditionalFormatting sqref="BG19">
    <cfRule type="expression" dxfId="111" priority="106">
      <formula>IF(AND(BE19&lt;&gt;"",BF19&lt;&gt;"",BF19=BF20,BE19=BE20),TRUE,FALSE)</formula>
    </cfRule>
    <cfRule type="expression" dxfId="110" priority="107" stopIfTrue="1">
      <formula>IF(AND($BG19&gt;$BG20,ISNUMBER($BG19),ISNUMBER($BG20)),1,0)</formula>
    </cfRule>
  </conditionalFormatting>
  <conditionalFormatting sqref="BG20">
    <cfRule type="expression" dxfId="109" priority="105">
      <formula>IF(AND(BE20&lt;&gt;"",BF20&lt;&gt;"",BF19=BF20,BE19=BE20),TRUE,FALSE)</formula>
    </cfRule>
    <cfRule type="expression" dxfId="108" priority="108" stopIfTrue="1">
      <formula>IF(AND($BG19&lt;$BG20,ISNUMBER($BG19),ISNUMBER($BG20)),1,0)</formula>
    </cfRule>
  </conditionalFormatting>
  <conditionalFormatting sqref="BF23">
    <cfRule type="expression" dxfId="107" priority="102">
      <formula>IF(AND(BE23&lt;&gt;"",BE23=BE24),TRUE,FALSE)</formula>
    </cfRule>
    <cfRule type="expression" dxfId="106" priority="104" stopIfTrue="1">
      <formula>IF(AND($BF23&gt;$BF24,ISNUMBER($BF23),ISNUMBER($BF24)),1,0)</formula>
    </cfRule>
  </conditionalFormatting>
  <conditionalFormatting sqref="BF24">
    <cfRule type="expression" dxfId="105" priority="101">
      <formula>IF(AND(BE24&lt;&gt;"",BE23=BE24),TRUE,FALSE)</formula>
    </cfRule>
    <cfRule type="expression" dxfId="104" priority="103" stopIfTrue="1">
      <formula>IF(AND($BF23&lt;$BF24,ISNUMBER($BF23),ISNUMBER($BF24)),1,0)</formula>
    </cfRule>
  </conditionalFormatting>
  <conditionalFormatting sqref="BG23">
    <cfRule type="expression" dxfId="103" priority="98">
      <formula>IF(AND(BE23&lt;&gt;"",BF23&lt;&gt;"",BF23=BF24,BE23=BE24),TRUE,FALSE)</formula>
    </cfRule>
    <cfRule type="expression" dxfId="102" priority="99" stopIfTrue="1">
      <formula>IF(AND($BG23&gt;$BG24,ISNUMBER($BG23),ISNUMBER($BG24)),1,0)</formula>
    </cfRule>
  </conditionalFormatting>
  <conditionalFormatting sqref="BG24">
    <cfRule type="expression" dxfId="101" priority="97">
      <formula>IF(AND(BE24&lt;&gt;"",BF24&lt;&gt;"",BF23=BF24,BE23=BE24),TRUE,FALSE)</formula>
    </cfRule>
    <cfRule type="expression" dxfId="100" priority="100" stopIfTrue="1">
      <formula>IF(AND($BG23&lt;$BG24,ISNUMBER($BG23),ISNUMBER($BG24)),1,0)</formula>
    </cfRule>
  </conditionalFormatting>
  <conditionalFormatting sqref="BF31">
    <cfRule type="expression" dxfId="99" priority="94">
      <formula>IF(AND(BE31&lt;&gt;"",BE31=BE32),TRUE,FALSE)</formula>
    </cfRule>
    <cfRule type="expression" dxfId="98" priority="96" stopIfTrue="1">
      <formula>IF(AND($BF31&gt;$BF32,ISNUMBER($BF31),ISNUMBER($BF32)),1,0)</formula>
    </cfRule>
  </conditionalFormatting>
  <conditionalFormatting sqref="BF32">
    <cfRule type="expression" dxfId="97" priority="93">
      <formula>IF(AND(BE32&lt;&gt;"",BE31=BE32),TRUE,FALSE)</formula>
    </cfRule>
    <cfRule type="expression" dxfId="96" priority="95" stopIfTrue="1">
      <formula>IF(AND($BF31&lt;$BF32,ISNUMBER($BF31),ISNUMBER($BF32)),1,0)</formula>
    </cfRule>
  </conditionalFormatting>
  <conditionalFormatting sqref="BG31">
    <cfRule type="expression" dxfId="95" priority="90">
      <formula>IF(AND(BE31&lt;&gt;"",BF31&lt;&gt;"",BF31=BF32,BE31=BE32),TRUE,FALSE)</formula>
    </cfRule>
    <cfRule type="expression" dxfId="94" priority="91" stopIfTrue="1">
      <formula>IF(AND($BG31&gt;$BG32,ISNUMBER($BG31),ISNUMBER($BG32)),1,0)</formula>
    </cfRule>
  </conditionalFormatting>
  <conditionalFormatting sqref="BG32">
    <cfRule type="expression" dxfId="93" priority="89">
      <formula>IF(AND(BE32&lt;&gt;"",BF32&lt;&gt;"",BF31=BF32,BE31=BE32),TRUE,FALSE)</formula>
    </cfRule>
    <cfRule type="expression" dxfId="92" priority="92" stopIfTrue="1">
      <formula>IF(AND($BG31&lt;$BG32,ISNUMBER($BG31),ISNUMBER($BG32)),1,0)</formula>
    </cfRule>
  </conditionalFormatting>
  <conditionalFormatting sqref="BF35">
    <cfRule type="expression" dxfId="91" priority="86">
      <formula>IF(AND(BE35&lt;&gt;"",BE35=BE36),TRUE,FALSE)</formula>
    </cfRule>
    <cfRule type="expression" dxfId="90" priority="88" stopIfTrue="1">
      <formula>IF(AND($BF35&gt;$BF36,ISNUMBER($BF35),ISNUMBER($BF36)),1,0)</formula>
    </cfRule>
  </conditionalFormatting>
  <conditionalFormatting sqref="BF36">
    <cfRule type="expression" dxfId="89" priority="85">
      <formula>IF(AND(BE36&lt;&gt;"",BE35=BE36),TRUE,FALSE)</formula>
    </cfRule>
    <cfRule type="expression" dxfId="88" priority="87" stopIfTrue="1">
      <formula>IF(AND($BF35&lt;$BF36,ISNUMBER($BF35),ISNUMBER($BF36)),1,0)</formula>
    </cfRule>
  </conditionalFormatting>
  <conditionalFormatting sqref="BG35">
    <cfRule type="expression" dxfId="87" priority="82">
      <formula>IF(AND(BE35&lt;&gt;"",BF35&lt;&gt;"",BF35=BF36,BE35=BE36),TRUE,FALSE)</formula>
    </cfRule>
    <cfRule type="expression" dxfId="86" priority="83" stopIfTrue="1">
      <formula>IF(AND($BG35&gt;$BG36,ISNUMBER($BG35),ISNUMBER($BG36)),1,0)</formula>
    </cfRule>
  </conditionalFormatting>
  <conditionalFormatting sqref="BG36">
    <cfRule type="expression" dxfId="85" priority="81">
      <formula>IF(AND(BE36&lt;&gt;"",BF36&lt;&gt;"",BF35=BF36,BE35=BE36),TRUE,FALSE)</formula>
    </cfRule>
    <cfRule type="expression" dxfId="84" priority="84" stopIfTrue="1">
      <formula>IF(AND($BG35&lt;$BG36,ISNUMBER($BG35),ISNUMBER($BG36)),1,0)</formula>
    </cfRule>
  </conditionalFormatting>
  <conditionalFormatting sqref="BF39">
    <cfRule type="expression" dxfId="83" priority="78">
      <formula>IF(AND(BE39&lt;&gt;"",BE39=BE40),TRUE,FALSE)</formula>
    </cfRule>
    <cfRule type="expression" dxfId="82" priority="80" stopIfTrue="1">
      <formula>IF(AND($BF39&gt;$BF40,ISNUMBER($BF39),ISNUMBER($BF40)),1,0)</formula>
    </cfRule>
  </conditionalFormatting>
  <conditionalFormatting sqref="BF40">
    <cfRule type="expression" dxfId="81" priority="77">
      <formula>IF(AND(BE40&lt;&gt;"",BE39=BE40),TRUE,FALSE)</formula>
    </cfRule>
    <cfRule type="expression" dxfId="80" priority="79" stopIfTrue="1">
      <formula>IF(AND($BF39&lt;$BF40,ISNUMBER($BF39),ISNUMBER($BF40)),1,0)</formula>
    </cfRule>
  </conditionalFormatting>
  <conditionalFormatting sqref="BG39">
    <cfRule type="expression" dxfId="79" priority="74">
      <formula>IF(AND(BE39&lt;&gt;"",BF39&lt;&gt;"",BF39=BF40,BE39=BE40),TRUE,FALSE)</formula>
    </cfRule>
    <cfRule type="expression" dxfId="78" priority="75" stopIfTrue="1">
      <formula>IF(AND($BG39&gt;$BG40,ISNUMBER($BG39),ISNUMBER($BG40)),1,0)</formula>
    </cfRule>
  </conditionalFormatting>
  <conditionalFormatting sqref="BG40">
    <cfRule type="expression" dxfId="77" priority="73">
      <formula>IF(AND(BE40&lt;&gt;"",BF40&lt;&gt;"",BF39=BF40,BE39=BE40),TRUE,FALSE)</formula>
    </cfRule>
    <cfRule type="expression" dxfId="76" priority="76" stopIfTrue="1">
      <formula>IF(AND($BG39&lt;$BG40,ISNUMBER($BG39),ISNUMBER($BG40)),1,0)</formula>
    </cfRule>
  </conditionalFormatting>
  <conditionalFormatting sqref="BF43">
    <cfRule type="expression" dxfId="75" priority="70">
      <formula>IF(AND(BE43&lt;&gt;"",BE43=BE44),TRUE,FALSE)</formula>
    </cfRule>
    <cfRule type="expression" dxfId="74" priority="72" stopIfTrue="1">
      <formula>IF(AND($BF43&gt;$BF44,ISNUMBER($BF43),ISNUMBER($BF44)),1,0)</formula>
    </cfRule>
  </conditionalFormatting>
  <conditionalFormatting sqref="BF44">
    <cfRule type="expression" dxfId="73" priority="69">
      <formula>IF(AND(BE44&lt;&gt;"",BE43=BE44),TRUE,FALSE)</formula>
    </cfRule>
    <cfRule type="expression" dxfId="72" priority="71" stopIfTrue="1">
      <formula>IF(AND($BF43&lt;$BF44,ISNUMBER($BF43),ISNUMBER($BF44)),1,0)</formula>
    </cfRule>
  </conditionalFormatting>
  <conditionalFormatting sqref="BG43">
    <cfRule type="expression" dxfId="71" priority="66">
      <formula>IF(AND(BE43&lt;&gt;"",BF43&lt;&gt;"",BF43=BF44,BE43=BE44),TRUE,FALSE)</formula>
    </cfRule>
    <cfRule type="expression" dxfId="70" priority="67" stopIfTrue="1">
      <formula>IF(AND($BG43&gt;$BG44,ISNUMBER($BG43),ISNUMBER($BG44)),1,0)</formula>
    </cfRule>
  </conditionalFormatting>
  <conditionalFormatting sqref="BG44">
    <cfRule type="expression" dxfId="69" priority="65">
      <formula>IF(AND(BE44&lt;&gt;"",BF44&lt;&gt;"",BF43=BF44,BE43=BE44),TRUE,FALSE)</formula>
    </cfRule>
    <cfRule type="expression" dxfId="68" priority="68" stopIfTrue="1">
      <formula>IF(AND($BG43&lt;$BG44,ISNUMBER($BG43),ISNUMBER($BG44)),1,0)</formula>
    </cfRule>
  </conditionalFormatting>
  <conditionalFormatting sqref="BM41">
    <cfRule type="expression" dxfId="67" priority="62">
      <formula>IF(AND(BL41&lt;&gt;"",BL41=BL42),TRUE,FALSE)</formula>
    </cfRule>
    <cfRule type="expression" dxfId="66" priority="64" stopIfTrue="1">
      <formula>IF(AND($BF41&gt;$BF42,ISNUMBER($BF41),ISNUMBER($BF42)),1,0)</formula>
    </cfRule>
  </conditionalFormatting>
  <conditionalFormatting sqref="BM42">
    <cfRule type="expression" dxfId="65" priority="61">
      <formula>IF(AND(BL42&lt;&gt;"",BL41=BL42),TRUE,FALSE)</formula>
    </cfRule>
    <cfRule type="expression" dxfId="64" priority="63" stopIfTrue="1">
      <formula>IF(AND($BF41&lt;$BF42,ISNUMBER($BF41),ISNUMBER($BF42)),1,0)</formula>
    </cfRule>
  </conditionalFormatting>
  <conditionalFormatting sqref="BN41">
    <cfRule type="expression" dxfId="63" priority="58">
      <formula>IF(AND(BL41&lt;&gt;"",BM41&lt;&gt;"",BM41=BM42,BL41=BL42),TRUE,FALSE)</formula>
    </cfRule>
    <cfRule type="expression" dxfId="62" priority="59" stopIfTrue="1">
      <formula>IF(AND($BG41&gt;$BG42,ISNUMBER($BG41),ISNUMBER($BG42)),1,0)</formula>
    </cfRule>
  </conditionalFormatting>
  <conditionalFormatting sqref="BN42">
    <cfRule type="expression" dxfId="61" priority="57">
      <formula>IF(AND(BL42&lt;&gt;"",BM42&lt;&gt;"",BM41=BM42,BL41=BL42),TRUE,FALSE)</formula>
    </cfRule>
    <cfRule type="expression" dxfId="60" priority="60" stopIfTrue="1">
      <formula>IF(AND($BG41&lt;$BG42,ISNUMBER($BG41),ISNUMBER($BG42)),1,0)</formula>
    </cfRule>
  </conditionalFormatting>
  <conditionalFormatting sqref="BM33">
    <cfRule type="expression" dxfId="59" priority="54">
      <formula>IF(AND(BL33&lt;&gt;"",BL33=BL34),TRUE,FALSE)</formula>
    </cfRule>
    <cfRule type="expression" dxfId="58" priority="56" stopIfTrue="1">
      <formula>IF(AND($BF33&gt;$BF34,ISNUMBER($BF33),ISNUMBER($BF34)),1,0)</formula>
    </cfRule>
  </conditionalFormatting>
  <conditionalFormatting sqref="BM34">
    <cfRule type="expression" dxfId="57" priority="53">
      <formula>IF(AND(BL34&lt;&gt;"",BL33=BL34),TRUE,FALSE)</formula>
    </cfRule>
    <cfRule type="expression" dxfId="56" priority="55" stopIfTrue="1">
      <formula>IF(AND($BF33&lt;$BF34,ISNUMBER($BF33),ISNUMBER($BF34)),1,0)</formula>
    </cfRule>
  </conditionalFormatting>
  <conditionalFormatting sqref="BN33">
    <cfRule type="expression" dxfId="55" priority="50">
      <formula>IF(AND(BL33&lt;&gt;"",BM33&lt;&gt;"",BM33=BM34,BL33=BL34),TRUE,FALSE)</formula>
    </cfRule>
    <cfRule type="expression" dxfId="54" priority="51" stopIfTrue="1">
      <formula>IF(AND($BG33&gt;$BG34,ISNUMBER($BG33),ISNUMBER($BG34)),1,0)</formula>
    </cfRule>
  </conditionalFormatting>
  <conditionalFormatting sqref="BN34">
    <cfRule type="expression" dxfId="53" priority="49">
      <formula>IF(AND(BL34&lt;&gt;"",BM34&lt;&gt;"",BM33=BM34,BL33=BL34),TRUE,FALSE)</formula>
    </cfRule>
    <cfRule type="expression" dxfId="52" priority="52" stopIfTrue="1">
      <formula>IF(AND($BG33&lt;$BG34,ISNUMBER($BG33),ISNUMBER($BG34)),1,0)</formula>
    </cfRule>
  </conditionalFormatting>
  <conditionalFormatting sqref="BM25">
    <cfRule type="expression" dxfId="51" priority="46">
      <formula>IF(AND(BL25&lt;&gt;"",BL25=BL26),TRUE,FALSE)</formula>
    </cfRule>
    <cfRule type="expression" dxfId="50" priority="48" stopIfTrue="1">
      <formula>IF(AND($BF25&gt;$BF26,ISNUMBER($BF25),ISNUMBER($BF26)),1,0)</formula>
    </cfRule>
  </conditionalFormatting>
  <conditionalFormatting sqref="BM26">
    <cfRule type="expression" dxfId="49" priority="45">
      <formula>IF(AND(BL26&lt;&gt;"",BL25=BL26),TRUE,FALSE)</formula>
    </cfRule>
    <cfRule type="expression" dxfId="48" priority="47" stopIfTrue="1">
      <formula>IF(AND($BF25&lt;$BF26,ISNUMBER($BF25),ISNUMBER($BF26)),1,0)</formula>
    </cfRule>
  </conditionalFormatting>
  <conditionalFormatting sqref="BN25">
    <cfRule type="expression" dxfId="47" priority="42">
      <formula>IF(AND(BL25&lt;&gt;"",BM25&lt;&gt;"",BM25=BM26,BL25=BL26),TRUE,FALSE)</formula>
    </cfRule>
    <cfRule type="expression" dxfId="46" priority="43" stopIfTrue="1">
      <formula>IF(AND($BG25&gt;$BG26,ISNUMBER($BG25),ISNUMBER($BG26)),1,0)</formula>
    </cfRule>
  </conditionalFormatting>
  <conditionalFormatting sqref="BN26">
    <cfRule type="expression" dxfId="45" priority="41">
      <formula>IF(AND(BL26&lt;&gt;"",BM26&lt;&gt;"",BM25=BM26,BL25=BL26),TRUE,FALSE)</formula>
    </cfRule>
    <cfRule type="expression" dxfId="44" priority="44" stopIfTrue="1">
      <formula>IF(AND($BG25&lt;$BG26,ISNUMBER($BG25),ISNUMBER($BG26)),1,0)</formula>
    </cfRule>
  </conditionalFormatting>
  <conditionalFormatting sqref="BM17">
    <cfRule type="expression" dxfId="43" priority="38">
      <formula>IF(AND(BL17&lt;&gt;"",BL17=BL18),TRUE,FALSE)</formula>
    </cfRule>
    <cfRule type="expression" dxfId="42" priority="40" stopIfTrue="1">
      <formula>IF(AND($BF17&gt;$BF18,ISNUMBER($BF17),ISNUMBER($BF18)),1,0)</formula>
    </cfRule>
  </conditionalFormatting>
  <conditionalFormatting sqref="BM18">
    <cfRule type="expression" dxfId="41" priority="37">
      <formula>IF(AND(BL18&lt;&gt;"",BL17=BL18),TRUE,FALSE)</formula>
    </cfRule>
    <cfRule type="expression" dxfId="40" priority="39" stopIfTrue="1">
      <formula>IF(AND($BF17&lt;$BF18,ISNUMBER($BF17),ISNUMBER($BF18)),1,0)</formula>
    </cfRule>
  </conditionalFormatting>
  <conditionalFormatting sqref="BN17">
    <cfRule type="expression" dxfId="39" priority="34">
      <formula>IF(AND(BL17&lt;&gt;"",BM17&lt;&gt;"",BM17=BM18,BL17=BL18),TRUE,FALSE)</formula>
    </cfRule>
    <cfRule type="expression" dxfId="38" priority="35" stopIfTrue="1">
      <formula>IF(AND($BG17&gt;$BG18,ISNUMBER($BG17),ISNUMBER($BG18)),1,0)</formula>
    </cfRule>
  </conditionalFormatting>
  <conditionalFormatting sqref="BN18">
    <cfRule type="expression" dxfId="37" priority="33">
      <formula>IF(AND(BL18&lt;&gt;"",BM18&lt;&gt;"",BM17=BM18,BL17=BL18),TRUE,FALSE)</formula>
    </cfRule>
    <cfRule type="expression" dxfId="36" priority="36" stopIfTrue="1">
      <formula>IF(AND($BG17&lt;$BG18,ISNUMBER($BG17),ISNUMBER($BG18)),1,0)</formula>
    </cfRule>
  </conditionalFormatting>
  <conditionalFormatting sqref="BT21">
    <cfRule type="expression" dxfId="35" priority="30">
      <formula>IF(AND(BS21&lt;&gt;"",BS21=BS22),TRUE,FALSE)</formula>
    </cfRule>
    <cfRule type="expression" dxfId="34" priority="32" stopIfTrue="1">
      <formula>IF(AND($BF21&gt;$BF22,ISNUMBER($BF21),ISNUMBER($BF22)),1,0)</formula>
    </cfRule>
  </conditionalFormatting>
  <conditionalFormatting sqref="BT22">
    <cfRule type="expression" dxfId="33" priority="29">
      <formula>IF(AND(BS22&lt;&gt;"",BS21=BS22),TRUE,FALSE)</formula>
    </cfRule>
    <cfRule type="expression" dxfId="32" priority="31" stopIfTrue="1">
      <formula>IF(AND($BF21&lt;$BF22,ISNUMBER($BF21),ISNUMBER($BF22)),1,0)</formula>
    </cfRule>
  </conditionalFormatting>
  <conditionalFormatting sqref="BU21">
    <cfRule type="expression" dxfId="31" priority="26">
      <formula>IF(AND(BS21&lt;&gt;"",BT21&lt;&gt;"",BT21=BT22,BS21=BS22),TRUE,FALSE)</formula>
    </cfRule>
    <cfRule type="expression" dxfId="30" priority="27" stopIfTrue="1">
      <formula>IF(AND($BG21&gt;$BG22,ISNUMBER($BG21),ISNUMBER($BG22)),1,0)</formula>
    </cfRule>
  </conditionalFormatting>
  <conditionalFormatting sqref="BU22">
    <cfRule type="expression" dxfId="29" priority="25">
      <formula>IF(AND(BS22&lt;&gt;"",BT22&lt;&gt;"",BT21=BT22,BS21=BS22),TRUE,FALSE)</formula>
    </cfRule>
    <cfRule type="expression" dxfId="28" priority="28" stopIfTrue="1">
      <formula>IF(AND($BG21&lt;$BG22,ISNUMBER($BG21),ISNUMBER($BG22)),1,0)</formula>
    </cfRule>
  </conditionalFormatting>
  <conditionalFormatting sqref="BT37">
    <cfRule type="expression" dxfId="27" priority="22">
      <formula>IF(AND(BS37&lt;&gt;"",BS37=BS38),TRUE,FALSE)</formula>
    </cfRule>
    <cfRule type="expression" dxfId="26" priority="24" stopIfTrue="1">
      <formula>IF(AND($BF37&gt;$BF38,ISNUMBER($BF37),ISNUMBER($BF38)),1,0)</formula>
    </cfRule>
  </conditionalFormatting>
  <conditionalFormatting sqref="BT38">
    <cfRule type="expression" dxfId="25" priority="21">
      <formula>IF(AND(BS38&lt;&gt;"",BS37=BS38),TRUE,FALSE)</formula>
    </cfRule>
    <cfRule type="expression" dxfId="24" priority="23" stopIfTrue="1">
      <formula>IF(AND($BF37&lt;$BF38,ISNUMBER($BF37),ISNUMBER($BF38)),1,0)</formula>
    </cfRule>
  </conditionalFormatting>
  <conditionalFormatting sqref="BU37">
    <cfRule type="expression" dxfId="23" priority="18">
      <formula>IF(AND(BS37&lt;&gt;"",BT37&lt;&gt;"",BT37=BT38,BS37=BS38),TRUE,FALSE)</formula>
    </cfRule>
    <cfRule type="expression" dxfId="22" priority="19" stopIfTrue="1">
      <formula>IF(AND($BG37&gt;$BG38,ISNUMBER($BG37),ISNUMBER($BG38)),1,0)</formula>
    </cfRule>
  </conditionalFormatting>
  <conditionalFormatting sqref="BU38">
    <cfRule type="expression" dxfId="21" priority="17">
      <formula>IF(AND(BS38&lt;&gt;"",BT38&lt;&gt;"",BT37=BT38,BS37=BS38),TRUE,FALSE)</formula>
    </cfRule>
    <cfRule type="expression" dxfId="20" priority="20" stopIfTrue="1">
      <formula>IF(AND($BG37&lt;$BG38,ISNUMBER($BG37),ISNUMBER($BG38)),1,0)</formula>
    </cfRule>
  </conditionalFormatting>
  <conditionalFormatting sqref="CA28">
    <cfRule type="expression" dxfId="19" priority="14">
      <formula>IF(AND(BZ28&lt;&gt;"",BZ28=BZ29),TRUE,FALSE)</formula>
    </cfRule>
    <cfRule type="expression" dxfId="18" priority="16" stopIfTrue="1">
      <formula>IF(AND($BF28&gt;$BF29,ISNUMBER($BF28),ISNUMBER($BF29)),1,0)</formula>
    </cfRule>
  </conditionalFormatting>
  <conditionalFormatting sqref="CA29">
    <cfRule type="expression" dxfId="17" priority="13">
      <formula>IF(AND(BZ29&lt;&gt;"",BZ28=BZ29),TRUE,FALSE)</formula>
    </cfRule>
    <cfRule type="expression" dxfId="16" priority="15" stopIfTrue="1">
      <formula>IF(AND($BF28&lt;$BF29,ISNUMBER($BF28),ISNUMBER($BF29)),1,0)</formula>
    </cfRule>
  </conditionalFormatting>
  <conditionalFormatting sqref="CB28">
    <cfRule type="expression" dxfId="15" priority="10">
      <formula>IF(AND(BZ28&lt;&gt;"",CA28&lt;&gt;"",CA28=CA29,BZ28=BZ29),TRUE,FALSE)</formula>
    </cfRule>
    <cfRule type="expression" dxfId="14" priority="11" stopIfTrue="1">
      <formula>IF(AND($BG28&gt;$BG29,ISNUMBER($BG28),ISNUMBER($BG29)),1,0)</formula>
    </cfRule>
  </conditionalFormatting>
  <conditionalFormatting sqref="CB29">
    <cfRule type="expression" dxfId="13" priority="9">
      <formula>IF(AND(BZ29&lt;&gt;"",CA29&lt;&gt;"",CA28=CA29,BZ28=BZ29),TRUE,FALSE)</formula>
    </cfRule>
    <cfRule type="expression" dxfId="12" priority="12" stopIfTrue="1">
      <formula>IF(AND($BG28&lt;$BG29,ISNUMBER($BG28),ISNUMBER($BG29)),1,0)</formula>
    </cfRule>
  </conditionalFormatting>
  <conditionalFormatting sqref="CA40">
    <cfRule type="expression" dxfId="11" priority="6">
      <formula>IF(AND(BZ40&lt;&gt;"",BZ40=BZ41),TRUE,FALSE)</formula>
    </cfRule>
    <cfRule type="expression" dxfId="10" priority="8" stopIfTrue="1">
      <formula>IF(AND($BF40&gt;$BF41,ISNUMBER($BF40),ISNUMBER($BF41)),1,0)</formula>
    </cfRule>
  </conditionalFormatting>
  <conditionalFormatting sqref="CA41">
    <cfRule type="expression" dxfId="9" priority="5">
      <formula>IF(AND(BZ41&lt;&gt;"",BZ40=BZ41),TRUE,FALSE)</formula>
    </cfRule>
    <cfRule type="expression" dxfId="8" priority="7" stopIfTrue="1">
      <formula>IF(AND($BF40&lt;$BF41,ISNUMBER($BF40),ISNUMBER($BF41)),1,0)</formula>
    </cfRule>
  </conditionalFormatting>
  <conditionalFormatting sqref="CB40">
    <cfRule type="expression" dxfId="7" priority="2">
      <formula>IF(AND(BZ40&lt;&gt;"",CA40&lt;&gt;"",CA40=CA41,BZ40=BZ41),TRUE,FALSE)</formula>
    </cfRule>
    <cfRule type="expression" dxfId="6" priority="3" stopIfTrue="1">
      <formula>IF(AND($BG40&gt;$BG41,ISNUMBER($BG40),ISNUMBER($BG41)),1,0)</formula>
    </cfRule>
  </conditionalFormatting>
  <conditionalFormatting sqref="CB41">
    <cfRule type="expression" dxfId="5" priority="1">
      <formula>IF(AND(BZ41&lt;&gt;"",CA41&lt;&gt;"",CA40=CA41,BZ40=BZ41),TRUE,FALSE)</formula>
    </cfRule>
    <cfRule type="expression" dxfId="4" priority="4" stopIfTrue="1">
      <formula>IF(AND($BG40&lt;$BG41,ISNUMBER($BG40),ISNUMBER($BG41)),1,0)</formula>
    </cfRule>
  </conditionalFormatting>
  <dataValidations count="6">
    <dataValidation type="whole" allowBlank="1" showInputMessage="1" showErrorMessage="1" errorTitle="Not a real score!" error="Enter a number between 0 and 100" sqref="I12:J59" xr:uid="{0C55CC3B-B91A-4FFD-A642-AA74DC52116F}">
      <formula1>0</formula1>
      <formula2>100</formula2>
    </dataValidation>
    <dataValidation type="list" allowBlank="1" showInputMessage="1" showErrorMessage="1" sqref="I60:J60" xr:uid="{793ABA28-682D-4C9B-864B-10ED149D8557}">
      <formula1>"0,1,2,3,4,5,6,7,8,9"</formula1>
    </dataValidation>
    <dataValidation type="list" allowBlank="1" showInputMessage="1" showErrorMessage="1" promptTitle="Match results" prompt="Regular time result (90 min)" sqref="BE15:BE16 BE19:BE20 BE23:BE24 BE27:BE28 BE31:BE32 BE35:BE36 BE39:BE40 BE43:BE44 BL17:BL18 BL25:BL26 BL33:BL34 BL41:BL42 BS37:BS38 BS21:BS22 BZ40:BZ41 BZ28:BZ29" xr:uid="{DFCE736F-8063-4D1D-8830-F95CFA89EF6A}">
      <formula1>"0,1,2,3,4,5,6,7,8,9,10,11,12,13,14,15,16,17,18,19,20"</formula1>
    </dataValidation>
    <dataValidation type="list" allowBlank="1" showInputMessage="1" showErrorMessage="1" promptTitle="Match result" prompt="Extra-time result (+30 min)" sqref="BT38 BF24 BF16 BF20 CA29 BF28 BF32 BF36 BF40 BM26 BM34 BM42 BF44 BM18 BT22 CA41" xr:uid="{05110541-91BE-4C7F-BFA0-30562D480738}">
      <formula1>"0,1,2,3,4,5"</formula1>
    </dataValidation>
    <dataValidation type="list" allowBlank="1" showInputMessage="1" showErrorMessage="1" promptTitle="Match result" prompt="Penalties" sqref="BG23:BG24 CB28:CB29 BG15:BG16 BG19:BG20 BU37:BU38 BG27:BG28 BG31:BG32 BG35:BG36 BN41:BN42 BN33:BN34 BN25:BN26 BG39:BG40 BG43:BG44 BN17:BN18 BU21:BU22 CB40:CB41" xr:uid="{13C2FB34-95D5-4003-94BB-D978ACC0F320}">
      <formula1>"0,1,2,3,4,5,6,7,8,9,10,11,12,13,14,15,16,17,18,19,20"</formula1>
    </dataValidation>
    <dataValidation type="list" allowBlank="1" showInputMessage="1" showErrorMessage="1" error="Enter a number" promptTitle="Match result" prompt="Extra-time result (+30 min)" sqref="CA28 BF23 BF15 BF19 BF27 BF31 BF35 BF39 BM25 BM33 BM41 BF43 BM17 BT21 BT37 CA40" xr:uid="{BFECFE8A-B3E7-4AB8-B3F2-14B81F86C814}">
      <formula1>"0,1,2,3,4,5,6,7,8,9"</formula1>
    </dataValidation>
  </dataValidations>
  <printOptions horizontalCentered="1" verticalCentered="1"/>
  <pageMargins left="0.25" right="0.25" top="0.75" bottom="0.75" header="0.3" footer="0.3"/>
  <pageSetup paperSize="9" scale="45" orientation="landscape" r:id="rId1"/>
  <headerFooter>
    <oddFooter>&amp;CCommunity Life's World Cup Predictor Challenge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ACD58-1062-446E-957F-13FE840BE0E5}">
  <sheetPr>
    <pageSetUpPr fitToPage="1"/>
  </sheetPr>
  <dimension ref="A1:CA98"/>
  <sheetViews>
    <sheetView showGridLines="0" showRowColHeaders="0" zoomScale="80" zoomScaleNormal="80" workbookViewId="0">
      <pane xSplit="1" ySplit="7" topLeftCell="B8" activePane="bottomRight" state="frozen"/>
      <selection activeCell="B1" sqref="B1:AP1048576"/>
      <selection pane="topRight" activeCell="B1" sqref="B1:AP1048576"/>
      <selection pane="bottomLeft" activeCell="B1" sqref="B1:AP1048576"/>
      <selection pane="bottomRight" activeCell="G8" sqref="G8"/>
    </sheetView>
  </sheetViews>
  <sheetFormatPr defaultColWidth="0" defaultRowHeight="14.25" customHeight="1" zeroHeight="1" x14ac:dyDescent="0.45"/>
  <cols>
    <col min="1" max="1" width="1.3984375" style="34" customWidth="1"/>
    <col min="2" max="2" width="4.86328125" style="37" customWidth="1"/>
    <col min="3" max="3" width="6.1328125" style="37" customWidth="1"/>
    <col min="4" max="4" width="9.06640625" style="37" customWidth="1"/>
    <col min="5" max="5" width="7.265625" style="38" customWidth="1"/>
    <col min="6" max="6" width="17.265625" style="39" customWidth="1"/>
    <col min="7" max="8" width="4.265625" style="40" customWidth="1"/>
    <col min="9" max="9" width="16.46484375" style="41" customWidth="1"/>
    <col min="10" max="10" width="1.9296875" style="42" customWidth="1"/>
    <col min="11" max="11" width="3.3984375" style="34" customWidth="1"/>
    <col min="12" max="13" width="12.86328125" style="37" customWidth="1"/>
    <col min="14" max="14" width="12.19921875" style="37" customWidth="1"/>
    <col min="15" max="15" width="29" style="124" customWidth="1"/>
    <col min="16" max="16" width="1.9296875" style="34" customWidth="1"/>
    <col min="17" max="77" width="9.1328125" style="34" hidden="1" customWidth="1"/>
    <col min="78" max="79" width="0" style="34" hidden="1" customWidth="1"/>
    <col min="80" max="16384" width="9.1328125" style="34" hidden="1"/>
  </cols>
  <sheetData>
    <row r="1" spans="1:16" ht="75.400000000000006" customHeight="1" x14ac:dyDescent="0.45">
      <c r="B1" s="241" t="s">
        <v>211</v>
      </c>
      <c r="C1" s="242"/>
      <c r="D1" s="242"/>
      <c r="E1" s="242"/>
      <c r="F1" s="242"/>
      <c r="G1" s="242"/>
      <c r="H1" s="242"/>
      <c r="I1" s="242"/>
      <c r="J1" s="242"/>
      <c r="K1" s="242"/>
      <c r="L1" s="242"/>
      <c r="M1" s="242"/>
      <c r="N1" s="242"/>
      <c r="O1" s="242"/>
    </row>
    <row r="2" spans="1:16" ht="20.350000000000001" customHeight="1" x14ac:dyDescent="0.45"/>
    <row r="3" spans="1:16" ht="30" customHeight="1" thickBot="1" x14ac:dyDescent="0.5">
      <c r="B3" s="243" t="s">
        <v>212</v>
      </c>
      <c r="C3" s="243"/>
      <c r="D3" s="243"/>
      <c r="E3" s="243"/>
      <c r="F3" s="243"/>
      <c r="G3" s="243"/>
      <c r="H3" s="243"/>
      <c r="I3" s="243"/>
      <c r="J3" s="125"/>
      <c r="K3" s="125"/>
      <c r="L3" s="125"/>
      <c r="M3" s="125"/>
      <c r="P3" s="37"/>
    </row>
    <row r="4" spans="1:16" ht="30" customHeight="1" thickBot="1" x14ac:dyDescent="0.5">
      <c r="A4" s="61"/>
      <c r="B4" s="243"/>
      <c r="C4" s="243"/>
      <c r="D4" s="243"/>
      <c r="E4" s="243"/>
      <c r="F4" s="243"/>
      <c r="G4" s="243"/>
      <c r="H4" s="243"/>
      <c r="I4" s="243"/>
      <c r="J4" s="64"/>
      <c r="K4" s="61"/>
      <c r="L4" s="245" t="s">
        <v>232</v>
      </c>
      <c r="M4" s="246"/>
      <c r="N4" s="246"/>
      <c r="O4" s="247" t="str">
        <f>SUM(O8:O55)&amp;" points"</f>
        <v>0 points</v>
      </c>
    </row>
    <row r="5" spans="1:16" ht="33" customHeight="1" thickBot="1" x14ac:dyDescent="0.5">
      <c r="B5" s="244"/>
      <c r="C5" s="244"/>
      <c r="D5" s="244"/>
      <c r="E5" s="244"/>
      <c r="F5" s="244"/>
      <c r="G5" s="244"/>
      <c r="H5" s="244"/>
      <c r="I5" s="244"/>
      <c r="L5" s="126">
        <f>COUNTIF(L8:L55,"Y")</f>
        <v>0</v>
      </c>
      <c r="M5" s="127">
        <f t="shared" ref="M5:N5" si="0">COUNTIF(M8:M55,"Y")</f>
        <v>0</v>
      </c>
      <c r="N5" s="128">
        <f t="shared" si="0"/>
        <v>0</v>
      </c>
      <c r="O5" s="248"/>
    </row>
    <row r="6" spans="1:16" ht="15" customHeight="1" x14ac:dyDescent="0.45">
      <c r="B6" s="249" t="s">
        <v>231</v>
      </c>
      <c r="C6" s="250"/>
      <c r="D6" s="250"/>
      <c r="E6" s="250"/>
      <c r="F6" s="250"/>
      <c r="G6" s="250"/>
      <c r="H6" s="250"/>
      <c r="I6" s="251"/>
      <c r="J6" s="68"/>
      <c r="L6" s="255" t="s">
        <v>213</v>
      </c>
      <c r="M6" s="257" t="s">
        <v>214</v>
      </c>
      <c r="N6" s="257" t="s">
        <v>215</v>
      </c>
      <c r="O6" s="259" t="s">
        <v>216</v>
      </c>
    </row>
    <row r="7" spans="1:16" ht="15" customHeight="1" thickBot="1" x14ac:dyDescent="0.5">
      <c r="B7" s="252"/>
      <c r="C7" s="253"/>
      <c r="D7" s="253"/>
      <c r="E7" s="253"/>
      <c r="F7" s="253"/>
      <c r="G7" s="253"/>
      <c r="H7" s="253"/>
      <c r="I7" s="254"/>
      <c r="J7" s="68"/>
      <c r="L7" s="256"/>
      <c r="M7" s="258"/>
      <c r="N7" s="258"/>
      <c r="O7" s="260"/>
    </row>
    <row r="8" spans="1:16" ht="15" customHeight="1" x14ac:dyDescent="0.45">
      <c r="B8" s="129">
        <v>1</v>
      </c>
      <c r="C8" s="70" t="s">
        <v>15</v>
      </c>
      <c r="D8" s="71">
        <v>44885</v>
      </c>
      <c r="E8" s="72">
        <v>0.79166666666666663</v>
      </c>
      <c r="F8" s="73" t="s">
        <v>36</v>
      </c>
      <c r="G8" s="130"/>
      <c r="H8" s="130"/>
      <c r="I8" s="75" t="s">
        <v>37</v>
      </c>
      <c r="J8" s="76" t="str">
        <f>IF(AND(G8="",H8=""),"",IF(G8=H8,"D",IF(G8&gt;H8,"H",IF(H8&gt;G8,"A"))))</f>
        <v/>
      </c>
      <c r="L8" s="131" t="str">
        <f>IF(OR(G8="",H8=""),"",IF(SUM(G8:H8)=SUM('Enter Your Predictions Here'!I12:J12),"Y",""))</f>
        <v/>
      </c>
      <c r="M8" s="132" t="str">
        <f>IF(OR(G8="",H8=""),"",IF(J8='Enter Your Predictions Here'!L12,"Y",""))</f>
        <v/>
      </c>
      <c r="N8" s="132" t="str">
        <f>IF(OR(G8="",H8=""),"",IF(AND(G8='Enter Your Predictions Here'!I12,'Points Tracker'!H8='Enter Your Predictions Here'!J12),"Y",""))</f>
        <v/>
      </c>
      <c r="O8" s="133" t="str">
        <f>IF(AND(G8="",H8=""),"",IF(N8="Y",5,IF(M8="Y",2,IF(L8="Y",1,0))))</f>
        <v/>
      </c>
    </row>
    <row r="9" spans="1:16" ht="15" customHeight="1" x14ac:dyDescent="0.45">
      <c r="B9" s="134">
        <v>2</v>
      </c>
      <c r="C9" s="78" t="s">
        <v>16</v>
      </c>
      <c r="D9" s="79">
        <v>44886</v>
      </c>
      <c r="E9" s="80">
        <v>0.79166666666666663</v>
      </c>
      <c r="F9" s="81" t="s">
        <v>35</v>
      </c>
      <c r="G9" s="135"/>
      <c r="H9" s="135"/>
      <c r="I9" s="83" t="s">
        <v>38</v>
      </c>
      <c r="J9" s="76" t="str">
        <f t="shared" ref="J9:J55" si="1">IF(AND(G9="",H9=""),"",IF(G9=H9,"D",IF(G9&gt;H9,"H",IF(H9&gt;G9,"A"))))</f>
        <v/>
      </c>
      <c r="L9" s="136" t="str">
        <f>IF(OR(G9="",H9=""),"",IF(SUM(G9:H9)=SUM('Enter Your Predictions Here'!I13:J13),"Y",""))</f>
        <v/>
      </c>
      <c r="M9" s="137" t="str">
        <f>IF(OR(G9="",H9=""),"",IF(J9='Enter Your Predictions Here'!L13,"Y",""))</f>
        <v/>
      </c>
      <c r="N9" s="137" t="str">
        <f>IF(OR(G9="",H9=""),"",IF(AND(G9='Enter Your Predictions Here'!I13,'Points Tracker'!H9='Enter Your Predictions Here'!J13),"Y",""))</f>
        <v/>
      </c>
      <c r="O9" s="138" t="str">
        <f t="shared" ref="O9:O55" si="2">IF(AND(G9="",H9=""),"",IF(N9="Y",5,IF(M9="Y",2,IF(L9="Y",1,0))))</f>
        <v/>
      </c>
    </row>
    <row r="10" spans="1:16" ht="15" customHeight="1" x14ac:dyDescent="0.45">
      <c r="B10" s="134">
        <v>3</v>
      </c>
      <c r="C10" s="78" t="s">
        <v>16</v>
      </c>
      <c r="D10" s="79">
        <v>44886</v>
      </c>
      <c r="E10" s="80">
        <v>0.66666666666666663</v>
      </c>
      <c r="F10" s="81" t="s">
        <v>39</v>
      </c>
      <c r="G10" s="135"/>
      <c r="H10" s="135"/>
      <c r="I10" s="83" t="s">
        <v>40</v>
      </c>
      <c r="J10" s="76" t="str">
        <f t="shared" si="1"/>
        <v/>
      </c>
      <c r="L10" s="136" t="str">
        <f>IF(OR(G10="",H10=""),"",IF(SUM(G10:H10)=SUM('Enter Your Predictions Here'!I14:J14),"Y",""))</f>
        <v/>
      </c>
      <c r="M10" s="137" t="str">
        <f>IF(OR(G10="",H10=""),"",IF(J10='Enter Your Predictions Here'!L14,"Y",""))</f>
        <v/>
      </c>
      <c r="N10" s="137" t="str">
        <f>IF(OR(G10="",H10=""),"",IF(AND(G10='Enter Your Predictions Here'!I14,'Points Tracker'!H10='Enter Your Predictions Here'!J14),"Y",""))</f>
        <v/>
      </c>
      <c r="O10" s="138" t="str">
        <f t="shared" si="2"/>
        <v/>
      </c>
    </row>
    <row r="11" spans="1:16" ht="15" customHeight="1" x14ac:dyDescent="0.45">
      <c r="B11" s="134">
        <v>4</v>
      </c>
      <c r="C11" s="78" t="s">
        <v>16</v>
      </c>
      <c r="D11" s="79">
        <v>44886</v>
      </c>
      <c r="E11" s="80">
        <v>0.91666666666666663</v>
      </c>
      <c r="F11" s="81" t="s">
        <v>41</v>
      </c>
      <c r="G11" s="135"/>
      <c r="H11" s="135"/>
      <c r="I11" s="83" t="s">
        <v>42</v>
      </c>
      <c r="J11" s="76" t="str">
        <f t="shared" si="1"/>
        <v/>
      </c>
      <c r="L11" s="136" t="str">
        <f>IF(OR(G11="",H11=""),"",IF(SUM(G11:H11)=SUM('Enter Your Predictions Here'!I15:J15),"Y",""))</f>
        <v/>
      </c>
      <c r="M11" s="137" t="str">
        <f>IF(OR(G11="",H11=""),"",IF(J11='Enter Your Predictions Here'!L15,"Y",""))</f>
        <v/>
      </c>
      <c r="N11" s="137" t="str">
        <f>IF(OR(G11="",H11=""),"",IF(AND(G11='Enter Your Predictions Here'!I15,'Points Tracker'!H11='Enter Your Predictions Here'!J15),"Y",""))</f>
        <v/>
      </c>
      <c r="O11" s="138" t="str">
        <f t="shared" si="2"/>
        <v/>
      </c>
    </row>
    <row r="12" spans="1:16" ht="15" customHeight="1" x14ac:dyDescent="0.45">
      <c r="B12" s="134">
        <v>5</v>
      </c>
      <c r="C12" s="78" t="s">
        <v>17</v>
      </c>
      <c r="D12" s="79">
        <v>44887</v>
      </c>
      <c r="E12" s="80">
        <v>0.54166666666666663</v>
      </c>
      <c r="F12" s="81" t="s">
        <v>43</v>
      </c>
      <c r="G12" s="135"/>
      <c r="H12" s="135"/>
      <c r="I12" s="83" t="s">
        <v>44</v>
      </c>
      <c r="J12" s="76" t="str">
        <f t="shared" si="1"/>
        <v/>
      </c>
      <c r="L12" s="136" t="str">
        <f>IF(OR(G12="",H12=""),"",IF(SUM(G12:H12)=SUM('Enter Your Predictions Here'!I16:J16),"Y",""))</f>
        <v/>
      </c>
      <c r="M12" s="137" t="str">
        <f>IF(OR(G12="",H12=""),"",IF(J12='Enter Your Predictions Here'!L16,"Y",""))</f>
        <v/>
      </c>
      <c r="N12" s="137" t="str">
        <f>IF(OR(G12="",H12=""),"",IF(AND(G12='Enter Your Predictions Here'!I16,'Points Tracker'!H12='Enter Your Predictions Here'!J16),"Y",""))</f>
        <v/>
      </c>
      <c r="O12" s="138" t="str">
        <f t="shared" si="2"/>
        <v/>
      </c>
    </row>
    <row r="13" spans="1:16" ht="15" customHeight="1" x14ac:dyDescent="0.45">
      <c r="B13" s="134">
        <v>6</v>
      </c>
      <c r="C13" s="78" t="s">
        <v>17</v>
      </c>
      <c r="D13" s="79">
        <v>44887</v>
      </c>
      <c r="E13" s="80">
        <v>0.66666666666666663</v>
      </c>
      <c r="F13" s="81" t="s">
        <v>49</v>
      </c>
      <c r="G13" s="135"/>
      <c r="H13" s="135"/>
      <c r="I13" s="83" t="s">
        <v>50</v>
      </c>
      <c r="J13" s="76" t="str">
        <f t="shared" si="1"/>
        <v/>
      </c>
      <c r="L13" s="136" t="str">
        <f>IF(OR(G13="",H13=""),"",IF(SUM(G13:H13)=SUM('Enter Your Predictions Here'!I17:J17),"Y",""))</f>
        <v/>
      </c>
      <c r="M13" s="137" t="str">
        <f>IF(OR(G13="",H13=""),"",IF(J13='Enter Your Predictions Here'!L17,"Y",""))</f>
        <v/>
      </c>
      <c r="N13" s="137" t="str">
        <f>IF(OR(G13="",H13=""),"",IF(AND(G13='Enter Your Predictions Here'!I17,'Points Tracker'!H13='Enter Your Predictions Here'!J17),"Y",""))</f>
        <v/>
      </c>
      <c r="O13" s="138" t="str">
        <f t="shared" si="2"/>
        <v/>
      </c>
    </row>
    <row r="14" spans="1:16" ht="15" customHeight="1" x14ac:dyDescent="0.45">
      <c r="B14" s="134">
        <v>7</v>
      </c>
      <c r="C14" s="78" t="s">
        <v>17</v>
      </c>
      <c r="D14" s="79">
        <v>44887</v>
      </c>
      <c r="E14" s="80">
        <v>0.79166666666666663</v>
      </c>
      <c r="F14" s="81" t="s">
        <v>45</v>
      </c>
      <c r="G14" s="135"/>
      <c r="H14" s="135"/>
      <c r="I14" s="83" t="s">
        <v>46</v>
      </c>
      <c r="J14" s="76" t="str">
        <f t="shared" si="1"/>
        <v/>
      </c>
      <c r="L14" s="136" t="str">
        <f>IF(OR(G14="",H14=""),"",IF(SUM(G14:H14)=SUM('Enter Your Predictions Here'!I18:J18),"Y",""))</f>
        <v/>
      </c>
      <c r="M14" s="137" t="str">
        <f>IF(OR(G14="",H14=""),"",IF(J14='Enter Your Predictions Here'!L18,"Y",""))</f>
        <v/>
      </c>
      <c r="N14" s="137" t="str">
        <f>IF(OR(G14="",H14=""),"",IF(AND(G14='Enter Your Predictions Here'!I18,'Points Tracker'!H14='Enter Your Predictions Here'!J18),"Y",""))</f>
        <v/>
      </c>
      <c r="O14" s="138" t="str">
        <f t="shared" si="2"/>
        <v/>
      </c>
    </row>
    <row r="15" spans="1:16" ht="15" customHeight="1" x14ac:dyDescent="0.45">
      <c r="B15" s="134">
        <v>8</v>
      </c>
      <c r="C15" s="78" t="s">
        <v>17</v>
      </c>
      <c r="D15" s="79">
        <v>44887</v>
      </c>
      <c r="E15" s="80">
        <v>0.91666666666666663</v>
      </c>
      <c r="F15" s="81" t="s">
        <v>47</v>
      </c>
      <c r="G15" s="135"/>
      <c r="H15" s="135"/>
      <c r="I15" s="83" t="s">
        <v>48</v>
      </c>
      <c r="J15" s="76" t="str">
        <f t="shared" si="1"/>
        <v/>
      </c>
      <c r="L15" s="136" t="str">
        <f>IF(OR(G15="",H15=""),"",IF(SUM(G15:H15)=SUM('Enter Your Predictions Here'!I19:J19),"Y",""))</f>
        <v/>
      </c>
      <c r="M15" s="137" t="str">
        <f>IF(OR(G15="",H15=""),"",IF(J15='Enter Your Predictions Here'!L19,"Y",""))</f>
        <v/>
      </c>
      <c r="N15" s="137" t="str">
        <f>IF(OR(G15="",H15=""),"",IF(AND(G15='Enter Your Predictions Here'!I19,'Points Tracker'!H15='Enter Your Predictions Here'!J19),"Y",""))</f>
        <v/>
      </c>
      <c r="O15" s="138" t="str">
        <f t="shared" si="2"/>
        <v/>
      </c>
    </row>
    <row r="16" spans="1:16" ht="15" customHeight="1" x14ac:dyDescent="0.45">
      <c r="B16" s="134">
        <v>9</v>
      </c>
      <c r="C16" s="78" t="s">
        <v>18</v>
      </c>
      <c r="D16" s="79">
        <v>44888</v>
      </c>
      <c r="E16" s="80">
        <v>0.54166666666666663</v>
      </c>
      <c r="F16" s="81" t="s">
        <v>57</v>
      </c>
      <c r="G16" s="135"/>
      <c r="H16" s="135"/>
      <c r="I16" s="83" t="s">
        <v>58</v>
      </c>
      <c r="J16" s="76" t="str">
        <f t="shared" si="1"/>
        <v/>
      </c>
      <c r="L16" s="136" t="str">
        <f>IF(OR(G16="",H16=""),"",IF(SUM(G16:H16)=SUM('Enter Your Predictions Here'!I20:J20),"Y",""))</f>
        <v/>
      </c>
      <c r="M16" s="137" t="str">
        <f>IF(OR(G16="",H16=""),"",IF(J16='Enter Your Predictions Here'!L20,"Y",""))</f>
        <v/>
      </c>
      <c r="N16" s="137" t="str">
        <f>IF(OR(G16="",H16=""),"",IF(AND(G16='Enter Your Predictions Here'!I20,'Points Tracker'!H16='Enter Your Predictions Here'!J20),"Y",""))</f>
        <v/>
      </c>
      <c r="O16" s="138" t="str">
        <f t="shared" si="2"/>
        <v/>
      </c>
    </row>
    <row r="17" spans="2:15" ht="15" customHeight="1" x14ac:dyDescent="0.45">
      <c r="B17" s="134">
        <v>10</v>
      </c>
      <c r="C17" s="78" t="s">
        <v>18</v>
      </c>
      <c r="D17" s="79">
        <v>44888</v>
      </c>
      <c r="E17" s="80">
        <v>0.66666666666666663</v>
      </c>
      <c r="F17" s="81" t="s">
        <v>53</v>
      </c>
      <c r="G17" s="135"/>
      <c r="H17" s="135"/>
      <c r="I17" s="83" t="s">
        <v>54</v>
      </c>
      <c r="J17" s="76" t="str">
        <f t="shared" si="1"/>
        <v/>
      </c>
      <c r="L17" s="136" t="str">
        <f>IF(OR(G17="",H17=""),"",IF(SUM(G17:H17)=SUM('Enter Your Predictions Here'!I21:J21),"Y",""))</f>
        <v/>
      </c>
      <c r="M17" s="137" t="str">
        <f>IF(OR(G17="",H17=""),"",IF(J17='Enter Your Predictions Here'!L21,"Y",""))</f>
        <v/>
      </c>
      <c r="N17" s="137" t="str">
        <f>IF(OR(G17="",H17=""),"",IF(AND(G17='Enter Your Predictions Here'!I21,'Points Tracker'!H17='Enter Your Predictions Here'!J21),"Y",""))</f>
        <v/>
      </c>
      <c r="O17" s="138" t="str">
        <f t="shared" si="2"/>
        <v/>
      </c>
    </row>
    <row r="18" spans="2:15" ht="15" customHeight="1" x14ac:dyDescent="0.45">
      <c r="B18" s="134">
        <v>11</v>
      </c>
      <c r="C18" s="78" t="s">
        <v>18</v>
      </c>
      <c r="D18" s="79">
        <v>44888</v>
      </c>
      <c r="E18" s="80">
        <v>0.79166666666666663</v>
      </c>
      <c r="F18" s="81" t="s">
        <v>51</v>
      </c>
      <c r="G18" s="135"/>
      <c r="H18" s="135"/>
      <c r="I18" s="83" t="s">
        <v>52</v>
      </c>
      <c r="J18" s="76" t="str">
        <f t="shared" si="1"/>
        <v/>
      </c>
      <c r="L18" s="136" t="str">
        <f>IF(OR(G18="",H18=""),"",IF(SUM(G18:H18)=SUM('Enter Your Predictions Here'!I22:J22),"Y",""))</f>
        <v/>
      </c>
      <c r="M18" s="137" t="str">
        <f>IF(OR(G18="",H18=""),"",IF(J18='Enter Your Predictions Here'!L22,"Y",""))</f>
        <v/>
      </c>
      <c r="N18" s="137" t="str">
        <f>IF(OR(G18="",H18=""),"",IF(AND(G18='Enter Your Predictions Here'!I22,'Points Tracker'!H18='Enter Your Predictions Here'!J22),"Y",""))</f>
        <v/>
      </c>
      <c r="O18" s="138" t="str">
        <f t="shared" si="2"/>
        <v/>
      </c>
    </row>
    <row r="19" spans="2:15" ht="15" customHeight="1" x14ac:dyDescent="0.45">
      <c r="B19" s="134">
        <v>12</v>
      </c>
      <c r="C19" s="78" t="s">
        <v>18</v>
      </c>
      <c r="D19" s="79">
        <v>44888</v>
      </c>
      <c r="E19" s="80">
        <v>0.91666666666666663</v>
      </c>
      <c r="F19" s="81" t="s">
        <v>55</v>
      </c>
      <c r="G19" s="135"/>
      <c r="H19" s="135"/>
      <c r="I19" s="83" t="s">
        <v>56</v>
      </c>
      <c r="J19" s="76" t="str">
        <f t="shared" si="1"/>
        <v/>
      </c>
      <c r="L19" s="136" t="str">
        <f>IF(OR(G19="",H19=""),"",IF(SUM(G19:H19)=SUM('Enter Your Predictions Here'!I23:J23),"Y",""))</f>
        <v/>
      </c>
      <c r="M19" s="137" t="str">
        <f>IF(OR(G19="",H19=""),"",IF(J19='Enter Your Predictions Here'!L23,"Y",""))</f>
        <v/>
      </c>
      <c r="N19" s="137" t="str">
        <f>IF(OR(G19="",H19=""),"",IF(AND(G19='Enter Your Predictions Here'!I23,'Points Tracker'!H19='Enter Your Predictions Here'!J23),"Y",""))</f>
        <v/>
      </c>
      <c r="O19" s="138" t="str">
        <f t="shared" si="2"/>
        <v/>
      </c>
    </row>
    <row r="20" spans="2:15" ht="15" customHeight="1" x14ac:dyDescent="0.45">
      <c r="B20" s="134">
        <v>13</v>
      </c>
      <c r="C20" s="78" t="s">
        <v>19</v>
      </c>
      <c r="D20" s="79">
        <v>44889</v>
      </c>
      <c r="E20" s="80">
        <v>0.54166666666666663</v>
      </c>
      <c r="F20" s="81" t="s">
        <v>61</v>
      </c>
      <c r="G20" s="135"/>
      <c r="H20" s="135"/>
      <c r="I20" s="83" t="s">
        <v>62</v>
      </c>
      <c r="J20" s="76" t="str">
        <f t="shared" si="1"/>
        <v/>
      </c>
      <c r="L20" s="136" t="str">
        <f>IF(OR(G20="",H20=""),"",IF(SUM(G20:H20)=SUM('Enter Your Predictions Here'!I24:J24),"Y",""))</f>
        <v/>
      </c>
      <c r="M20" s="137" t="str">
        <f>IF(OR(G20="",H20=""),"",IF(J20='Enter Your Predictions Here'!L24,"Y",""))</f>
        <v/>
      </c>
      <c r="N20" s="137" t="str">
        <f>IF(OR(G20="",H20=""),"",IF(AND(G20='Enter Your Predictions Here'!I24,'Points Tracker'!H20='Enter Your Predictions Here'!J24),"Y",""))</f>
        <v/>
      </c>
      <c r="O20" s="138" t="str">
        <f t="shared" si="2"/>
        <v/>
      </c>
    </row>
    <row r="21" spans="2:15" ht="15" customHeight="1" x14ac:dyDescent="0.45">
      <c r="B21" s="134">
        <v>14</v>
      </c>
      <c r="C21" s="78" t="s">
        <v>19</v>
      </c>
      <c r="D21" s="79">
        <v>44889</v>
      </c>
      <c r="E21" s="80">
        <v>0.66666666666666663</v>
      </c>
      <c r="F21" s="81" t="s">
        <v>65</v>
      </c>
      <c r="G21" s="135"/>
      <c r="H21" s="135"/>
      <c r="I21" s="83" t="s">
        <v>66</v>
      </c>
      <c r="J21" s="76" t="str">
        <f t="shared" si="1"/>
        <v/>
      </c>
      <c r="L21" s="136" t="str">
        <f>IF(OR(G21="",H21=""),"",IF(SUM(G21:H21)=SUM('Enter Your Predictions Here'!I25:J25),"Y",""))</f>
        <v/>
      </c>
      <c r="M21" s="137" t="str">
        <f>IF(OR(G21="",H21=""),"",IF(J21='Enter Your Predictions Here'!L25,"Y",""))</f>
        <v/>
      </c>
      <c r="N21" s="137" t="str">
        <f>IF(OR(G21="",H21=""),"",IF(AND(G21='Enter Your Predictions Here'!I25,'Points Tracker'!H21='Enter Your Predictions Here'!J25),"Y",""))</f>
        <v/>
      </c>
      <c r="O21" s="138" t="str">
        <f t="shared" si="2"/>
        <v/>
      </c>
    </row>
    <row r="22" spans="2:15" ht="15" customHeight="1" x14ac:dyDescent="0.45">
      <c r="B22" s="134">
        <v>15</v>
      </c>
      <c r="C22" s="78" t="s">
        <v>19</v>
      </c>
      <c r="D22" s="79">
        <v>44889</v>
      </c>
      <c r="E22" s="80">
        <v>0.79166666666666663</v>
      </c>
      <c r="F22" s="81" t="s">
        <v>63</v>
      </c>
      <c r="G22" s="135"/>
      <c r="H22" s="135"/>
      <c r="I22" s="83" t="s">
        <v>64</v>
      </c>
      <c r="J22" s="76" t="str">
        <f t="shared" si="1"/>
        <v/>
      </c>
      <c r="L22" s="136" t="str">
        <f>IF(OR(G22="",H22=""),"",IF(SUM(G22:H22)=SUM('Enter Your Predictions Here'!I26:J26),"Y",""))</f>
        <v/>
      </c>
      <c r="M22" s="137" t="str">
        <f>IF(OR(G22="",H22=""),"",IF(J22='Enter Your Predictions Here'!L26,"Y",""))</f>
        <v/>
      </c>
      <c r="N22" s="137" t="str">
        <f>IF(OR(G22="",H22=""),"",IF(AND(G22='Enter Your Predictions Here'!I26,'Points Tracker'!H22='Enter Your Predictions Here'!J26),"Y",""))</f>
        <v/>
      </c>
      <c r="O22" s="138" t="str">
        <f t="shared" si="2"/>
        <v/>
      </c>
    </row>
    <row r="23" spans="2:15" ht="15" customHeight="1" x14ac:dyDescent="0.45">
      <c r="B23" s="134">
        <v>16</v>
      </c>
      <c r="C23" s="78" t="s">
        <v>19</v>
      </c>
      <c r="D23" s="79">
        <v>44889</v>
      </c>
      <c r="E23" s="80">
        <v>0.91666666666666663</v>
      </c>
      <c r="F23" s="81" t="s">
        <v>59</v>
      </c>
      <c r="G23" s="135"/>
      <c r="H23" s="135"/>
      <c r="I23" s="83" t="s">
        <v>60</v>
      </c>
      <c r="J23" s="76" t="str">
        <f t="shared" si="1"/>
        <v/>
      </c>
      <c r="L23" s="136" t="str">
        <f>IF(OR(G23="",H23=""),"",IF(SUM(G23:H23)=SUM('Enter Your Predictions Here'!I27:J27),"Y",""))</f>
        <v/>
      </c>
      <c r="M23" s="137" t="str">
        <f>IF(OR(G23="",H23=""),"",IF(J23='Enter Your Predictions Here'!L27,"Y",""))</f>
        <v/>
      </c>
      <c r="N23" s="137" t="str">
        <f>IF(OR(G23="",H23=""),"",IF(AND(G23='Enter Your Predictions Here'!I27,'Points Tracker'!H23='Enter Your Predictions Here'!J27),"Y",""))</f>
        <v/>
      </c>
      <c r="O23" s="138" t="str">
        <f t="shared" si="2"/>
        <v/>
      </c>
    </row>
    <row r="24" spans="2:15" ht="15" customHeight="1" x14ac:dyDescent="0.45">
      <c r="B24" s="134">
        <v>17</v>
      </c>
      <c r="C24" s="78" t="s">
        <v>20</v>
      </c>
      <c r="D24" s="79">
        <v>44890</v>
      </c>
      <c r="E24" s="80">
        <v>0.54166666666666663</v>
      </c>
      <c r="F24" s="81" t="s">
        <v>42</v>
      </c>
      <c r="G24" s="135"/>
      <c r="H24" s="135"/>
      <c r="I24" s="83" t="s">
        <v>40</v>
      </c>
      <c r="J24" s="76" t="str">
        <f t="shared" si="1"/>
        <v/>
      </c>
      <c r="L24" s="136" t="str">
        <f>IF(OR(G24="",H24=""),"",IF(SUM(G24:H24)=SUM('Enter Your Predictions Here'!I28:J28),"Y",""))</f>
        <v/>
      </c>
      <c r="M24" s="137" t="str">
        <f>IF(OR(G24="",H24=""),"",IF(J24='Enter Your Predictions Here'!L28,"Y",""))</f>
        <v/>
      </c>
      <c r="N24" s="137" t="str">
        <f>IF(OR(G24="",H24=""),"",IF(AND(G24='Enter Your Predictions Here'!I28,'Points Tracker'!H24='Enter Your Predictions Here'!J28),"Y",""))</f>
        <v/>
      </c>
      <c r="O24" s="138" t="str">
        <f t="shared" si="2"/>
        <v/>
      </c>
    </row>
    <row r="25" spans="2:15" ht="15" customHeight="1" x14ac:dyDescent="0.45">
      <c r="B25" s="134">
        <v>18</v>
      </c>
      <c r="C25" s="78" t="s">
        <v>20</v>
      </c>
      <c r="D25" s="79">
        <v>44890</v>
      </c>
      <c r="E25" s="80">
        <v>0.66666666666666663</v>
      </c>
      <c r="F25" s="81" t="s">
        <v>36</v>
      </c>
      <c r="G25" s="135"/>
      <c r="H25" s="135"/>
      <c r="I25" s="83" t="s">
        <v>35</v>
      </c>
      <c r="J25" s="76" t="str">
        <f t="shared" si="1"/>
        <v/>
      </c>
      <c r="L25" s="136" t="str">
        <f>IF(OR(G25="",H25=""),"",IF(SUM(G25:H25)=SUM('Enter Your Predictions Here'!I29:J29),"Y",""))</f>
        <v/>
      </c>
      <c r="M25" s="137" t="str">
        <f>IF(OR(G25="",H25=""),"",IF(J25='Enter Your Predictions Here'!L29,"Y",""))</f>
        <v/>
      </c>
      <c r="N25" s="137" t="str">
        <f>IF(OR(G25="",H25=""),"",IF(AND(G25='Enter Your Predictions Here'!I29,'Points Tracker'!H25='Enter Your Predictions Here'!J29),"Y",""))</f>
        <v/>
      </c>
      <c r="O25" s="138" t="str">
        <f t="shared" si="2"/>
        <v/>
      </c>
    </row>
    <row r="26" spans="2:15" ht="15" customHeight="1" x14ac:dyDescent="0.45">
      <c r="B26" s="134">
        <v>19</v>
      </c>
      <c r="C26" s="78" t="s">
        <v>20</v>
      </c>
      <c r="D26" s="79">
        <v>44890</v>
      </c>
      <c r="E26" s="80">
        <v>0.79166666666666663</v>
      </c>
      <c r="F26" s="81" t="s">
        <v>38</v>
      </c>
      <c r="G26" s="135"/>
      <c r="H26" s="135"/>
      <c r="I26" s="83" t="s">
        <v>37</v>
      </c>
      <c r="J26" s="76" t="str">
        <f t="shared" si="1"/>
        <v/>
      </c>
      <c r="L26" s="136" t="str">
        <f>IF(OR(G26="",H26=""),"",IF(SUM(G26:H26)=SUM('Enter Your Predictions Here'!I30:J30),"Y",""))</f>
        <v/>
      </c>
      <c r="M26" s="137" t="str">
        <f>IF(OR(G26="",H26=""),"",IF(J26='Enter Your Predictions Here'!L30,"Y",""))</f>
        <v/>
      </c>
      <c r="N26" s="137" t="str">
        <f>IF(OR(G26="",H26=""),"",IF(AND(G26='Enter Your Predictions Here'!I30,'Points Tracker'!H26='Enter Your Predictions Here'!J30),"Y",""))</f>
        <v/>
      </c>
      <c r="O26" s="138" t="str">
        <f t="shared" si="2"/>
        <v/>
      </c>
    </row>
    <row r="27" spans="2:15" ht="15" customHeight="1" x14ac:dyDescent="0.45">
      <c r="B27" s="134">
        <v>20</v>
      </c>
      <c r="C27" s="78" t="s">
        <v>20</v>
      </c>
      <c r="D27" s="79">
        <v>44890</v>
      </c>
      <c r="E27" s="80">
        <v>0.91666666666666663</v>
      </c>
      <c r="F27" s="81" t="s">
        <v>39</v>
      </c>
      <c r="G27" s="135"/>
      <c r="H27" s="135"/>
      <c r="I27" s="83" t="s">
        <v>41</v>
      </c>
      <c r="J27" s="76" t="str">
        <f t="shared" si="1"/>
        <v/>
      </c>
      <c r="L27" s="136" t="str">
        <f>IF(OR(G27="",H27=""),"",IF(SUM(G27:H27)=SUM('Enter Your Predictions Here'!I31:J31),"Y",""))</f>
        <v/>
      </c>
      <c r="M27" s="137" t="str">
        <f>IF(OR(G27="",H27=""),"",IF(J27='Enter Your Predictions Here'!L31,"Y",""))</f>
        <v/>
      </c>
      <c r="N27" s="137" t="str">
        <f>IF(OR(G27="",H27=""),"",IF(AND(G27='Enter Your Predictions Here'!I31,'Points Tracker'!H27='Enter Your Predictions Here'!J31),"Y",""))</f>
        <v/>
      </c>
      <c r="O27" s="138" t="str">
        <f t="shared" si="2"/>
        <v/>
      </c>
    </row>
    <row r="28" spans="2:15" ht="15" customHeight="1" x14ac:dyDescent="0.45">
      <c r="B28" s="134">
        <v>21</v>
      </c>
      <c r="C28" s="78" t="s">
        <v>21</v>
      </c>
      <c r="D28" s="79">
        <v>44891</v>
      </c>
      <c r="E28" s="80">
        <v>0.54166666666666663</v>
      </c>
      <c r="F28" s="81" t="s">
        <v>50</v>
      </c>
      <c r="G28" s="135"/>
      <c r="H28" s="135"/>
      <c r="I28" s="83" t="s">
        <v>48</v>
      </c>
      <c r="J28" s="76" t="str">
        <f t="shared" si="1"/>
        <v/>
      </c>
      <c r="L28" s="136" t="str">
        <f>IF(OR(G28="",H28=""),"",IF(SUM(G28:H28)=SUM('Enter Your Predictions Here'!I32:J32),"Y",""))</f>
        <v/>
      </c>
      <c r="M28" s="137" t="str">
        <f>IF(OR(G28="",H28=""),"",IF(J28='Enter Your Predictions Here'!L32,"Y",""))</f>
        <v/>
      </c>
      <c r="N28" s="137" t="str">
        <f>IF(OR(G28="",H28=""),"",IF(AND(G28='Enter Your Predictions Here'!I32,'Points Tracker'!H28='Enter Your Predictions Here'!J32),"Y",""))</f>
        <v/>
      </c>
      <c r="O28" s="138" t="str">
        <f t="shared" si="2"/>
        <v/>
      </c>
    </row>
    <row r="29" spans="2:15" ht="15" customHeight="1" x14ac:dyDescent="0.45">
      <c r="B29" s="134">
        <v>22</v>
      </c>
      <c r="C29" s="78" t="s">
        <v>21</v>
      </c>
      <c r="D29" s="79">
        <v>44891</v>
      </c>
      <c r="E29" s="80">
        <v>0.66666666666666663</v>
      </c>
      <c r="F29" s="81" t="s">
        <v>46</v>
      </c>
      <c r="G29" s="135"/>
      <c r="H29" s="135"/>
      <c r="I29" s="83" t="s">
        <v>44</v>
      </c>
      <c r="J29" s="76" t="str">
        <f t="shared" si="1"/>
        <v/>
      </c>
      <c r="L29" s="136" t="str">
        <f>IF(OR(G29="",H29=""),"",IF(SUM(G29:H29)=SUM('Enter Your Predictions Here'!I33:J33),"Y",""))</f>
        <v/>
      </c>
      <c r="M29" s="137" t="str">
        <f>IF(OR(G29="",H29=""),"",IF(J29='Enter Your Predictions Here'!L33,"Y",""))</f>
        <v/>
      </c>
      <c r="N29" s="137" t="str">
        <f>IF(OR(G29="",H29=""),"",IF(AND(G29='Enter Your Predictions Here'!I33,'Points Tracker'!H29='Enter Your Predictions Here'!J33),"Y",""))</f>
        <v/>
      </c>
      <c r="O29" s="138" t="str">
        <f t="shared" si="2"/>
        <v/>
      </c>
    </row>
    <row r="30" spans="2:15" ht="15" customHeight="1" x14ac:dyDescent="0.45">
      <c r="B30" s="134">
        <v>23</v>
      </c>
      <c r="C30" s="78" t="s">
        <v>21</v>
      </c>
      <c r="D30" s="79">
        <v>44891</v>
      </c>
      <c r="E30" s="80">
        <v>0.79166666666666663</v>
      </c>
      <c r="F30" s="81" t="s">
        <v>47</v>
      </c>
      <c r="G30" s="135"/>
      <c r="H30" s="135"/>
      <c r="I30" s="83" t="s">
        <v>49</v>
      </c>
      <c r="J30" s="76" t="str">
        <f t="shared" si="1"/>
        <v/>
      </c>
      <c r="L30" s="136" t="str">
        <f>IF(OR(G30="",H30=""),"",IF(SUM(G30:H30)=SUM('Enter Your Predictions Here'!I34:J34),"Y",""))</f>
        <v/>
      </c>
      <c r="M30" s="137" t="str">
        <f>IF(OR(G30="",H30=""),"",IF(J30='Enter Your Predictions Here'!L34,"Y",""))</f>
        <v/>
      </c>
      <c r="N30" s="137" t="str">
        <f>IF(OR(G30="",H30=""),"",IF(AND(G30='Enter Your Predictions Here'!I34,'Points Tracker'!H30='Enter Your Predictions Here'!J34),"Y",""))</f>
        <v/>
      </c>
      <c r="O30" s="138" t="str">
        <f t="shared" si="2"/>
        <v/>
      </c>
    </row>
    <row r="31" spans="2:15" ht="15" customHeight="1" x14ac:dyDescent="0.45">
      <c r="B31" s="134">
        <v>24</v>
      </c>
      <c r="C31" s="78" t="s">
        <v>21</v>
      </c>
      <c r="D31" s="79">
        <v>44891</v>
      </c>
      <c r="E31" s="80">
        <v>0.91666666666666663</v>
      </c>
      <c r="F31" s="81" t="s">
        <v>43</v>
      </c>
      <c r="G31" s="135"/>
      <c r="H31" s="135"/>
      <c r="I31" s="83" t="s">
        <v>45</v>
      </c>
      <c r="J31" s="76" t="str">
        <f t="shared" si="1"/>
        <v/>
      </c>
      <c r="L31" s="136" t="str">
        <f>IF(OR(G31="",H31=""),"",IF(SUM(G31:H31)=SUM('Enter Your Predictions Here'!I35:J35),"Y",""))</f>
        <v/>
      </c>
      <c r="M31" s="137" t="str">
        <f>IF(OR(G31="",H31=""),"",IF(J31='Enter Your Predictions Here'!L35,"Y",""))</f>
        <v/>
      </c>
      <c r="N31" s="137" t="str">
        <f>IF(OR(G31="",H31=""),"",IF(AND(G31='Enter Your Predictions Here'!I35,'Points Tracker'!H31='Enter Your Predictions Here'!J35),"Y",""))</f>
        <v/>
      </c>
      <c r="O31" s="138" t="str">
        <f t="shared" si="2"/>
        <v/>
      </c>
    </row>
    <row r="32" spans="2:15" ht="15" customHeight="1" x14ac:dyDescent="0.45">
      <c r="B32" s="134">
        <v>25</v>
      </c>
      <c r="C32" s="78" t="s">
        <v>15</v>
      </c>
      <c r="D32" s="79">
        <v>44892</v>
      </c>
      <c r="E32" s="80">
        <v>0.54166666666666663</v>
      </c>
      <c r="F32" s="81" t="s">
        <v>54</v>
      </c>
      <c r="G32" s="135"/>
      <c r="H32" s="135"/>
      <c r="I32" s="83" t="s">
        <v>52</v>
      </c>
      <c r="J32" s="76" t="str">
        <f t="shared" si="1"/>
        <v/>
      </c>
      <c r="L32" s="136" t="str">
        <f>IF(OR(G32="",H32=""),"",IF(SUM(G32:H32)=SUM('Enter Your Predictions Here'!I36:J36),"Y",""))</f>
        <v/>
      </c>
      <c r="M32" s="137" t="str">
        <f>IF(OR(G32="",H32=""),"",IF(J32='Enter Your Predictions Here'!L36,"Y",""))</f>
        <v/>
      </c>
      <c r="N32" s="137" t="str">
        <f>IF(OR(G32="",H32=""),"",IF(AND(G32='Enter Your Predictions Here'!I36,'Points Tracker'!H32='Enter Your Predictions Here'!J36),"Y",""))</f>
        <v/>
      </c>
      <c r="O32" s="138" t="str">
        <f t="shared" si="2"/>
        <v/>
      </c>
    </row>
    <row r="33" spans="2:15" ht="15" customHeight="1" x14ac:dyDescent="0.45">
      <c r="B33" s="134">
        <v>26</v>
      </c>
      <c r="C33" s="78" t="s">
        <v>15</v>
      </c>
      <c r="D33" s="79">
        <v>44892</v>
      </c>
      <c r="E33" s="80">
        <v>0.66666666666666663</v>
      </c>
      <c r="F33" s="81" t="s">
        <v>55</v>
      </c>
      <c r="G33" s="135"/>
      <c r="H33" s="135"/>
      <c r="I33" s="83" t="s">
        <v>57</v>
      </c>
      <c r="J33" s="76" t="str">
        <f t="shared" si="1"/>
        <v/>
      </c>
      <c r="L33" s="136" t="str">
        <f>IF(OR(G33="",H33=""),"",IF(SUM(G33:H33)=SUM('Enter Your Predictions Here'!I37:J37),"Y",""))</f>
        <v/>
      </c>
      <c r="M33" s="137" t="str">
        <f>IF(OR(G33="",H33=""),"",IF(J33='Enter Your Predictions Here'!L37,"Y",""))</f>
        <v/>
      </c>
      <c r="N33" s="137" t="str">
        <f>IF(OR(G33="",H33=""),"",IF(AND(G33='Enter Your Predictions Here'!I37,'Points Tracker'!H33='Enter Your Predictions Here'!J37),"Y",""))</f>
        <v/>
      </c>
      <c r="O33" s="138" t="str">
        <f t="shared" si="2"/>
        <v/>
      </c>
    </row>
    <row r="34" spans="2:15" ht="15" customHeight="1" x14ac:dyDescent="0.45">
      <c r="B34" s="134">
        <v>27</v>
      </c>
      <c r="C34" s="78" t="s">
        <v>15</v>
      </c>
      <c r="D34" s="79">
        <v>44892</v>
      </c>
      <c r="E34" s="80">
        <v>0.79166666666666663</v>
      </c>
      <c r="F34" s="81" t="s">
        <v>58</v>
      </c>
      <c r="G34" s="135"/>
      <c r="H34" s="135"/>
      <c r="I34" s="83" t="s">
        <v>56</v>
      </c>
      <c r="J34" s="76" t="str">
        <f t="shared" si="1"/>
        <v/>
      </c>
      <c r="L34" s="136" t="str">
        <f>IF(OR(G34="",H34=""),"",IF(SUM(G34:H34)=SUM('Enter Your Predictions Here'!I38:J38),"Y",""))</f>
        <v/>
      </c>
      <c r="M34" s="137" t="str">
        <f>IF(OR(G34="",H34=""),"",IF(J34='Enter Your Predictions Here'!L38,"Y",""))</f>
        <v/>
      </c>
      <c r="N34" s="137" t="str">
        <f>IF(OR(G34="",H34=""),"",IF(AND(G34='Enter Your Predictions Here'!I38,'Points Tracker'!H34='Enter Your Predictions Here'!J38),"Y",""))</f>
        <v/>
      </c>
      <c r="O34" s="138" t="str">
        <f t="shared" si="2"/>
        <v/>
      </c>
    </row>
    <row r="35" spans="2:15" ht="15" customHeight="1" x14ac:dyDescent="0.45">
      <c r="B35" s="134">
        <v>28</v>
      </c>
      <c r="C35" s="78" t="s">
        <v>15</v>
      </c>
      <c r="D35" s="79">
        <v>44892</v>
      </c>
      <c r="E35" s="80">
        <v>0.91666666666666663</v>
      </c>
      <c r="F35" s="81" t="s">
        <v>51</v>
      </c>
      <c r="G35" s="135"/>
      <c r="H35" s="135"/>
      <c r="I35" s="83" t="s">
        <v>53</v>
      </c>
      <c r="J35" s="76" t="str">
        <f t="shared" si="1"/>
        <v/>
      </c>
      <c r="L35" s="136" t="str">
        <f>IF(OR(G35="",H35=""),"",IF(SUM(G35:H35)=SUM('Enter Your Predictions Here'!I39:J39),"Y",""))</f>
        <v/>
      </c>
      <c r="M35" s="137" t="str">
        <f>IF(OR(G35="",H35=""),"",IF(J35='Enter Your Predictions Here'!L39,"Y",""))</f>
        <v/>
      </c>
      <c r="N35" s="137" t="str">
        <f>IF(OR(G35="",H35=""),"",IF(AND(G35='Enter Your Predictions Here'!I39,'Points Tracker'!H35='Enter Your Predictions Here'!J39),"Y",""))</f>
        <v/>
      </c>
      <c r="O35" s="138" t="str">
        <f t="shared" si="2"/>
        <v/>
      </c>
    </row>
    <row r="36" spans="2:15" ht="15" customHeight="1" x14ac:dyDescent="0.45">
      <c r="B36" s="134">
        <v>29</v>
      </c>
      <c r="C36" s="78" t="s">
        <v>16</v>
      </c>
      <c r="D36" s="79">
        <v>44893</v>
      </c>
      <c r="E36" s="80">
        <v>0.54166666666666663</v>
      </c>
      <c r="F36" s="81" t="s">
        <v>62</v>
      </c>
      <c r="G36" s="135"/>
      <c r="H36" s="135"/>
      <c r="I36" s="83" t="s">
        <v>60</v>
      </c>
      <c r="J36" s="76" t="str">
        <f t="shared" si="1"/>
        <v/>
      </c>
      <c r="L36" s="136" t="str">
        <f>IF(OR(G36="",H36=""),"",IF(SUM(G36:H36)=SUM('Enter Your Predictions Here'!I40:J40),"Y",""))</f>
        <v/>
      </c>
      <c r="M36" s="137" t="str">
        <f>IF(OR(G36="",H36=""),"",IF(J36='Enter Your Predictions Here'!L40,"Y",""))</f>
        <v/>
      </c>
      <c r="N36" s="137" t="str">
        <f>IF(OR(G36="",H36=""),"",IF(AND(G36='Enter Your Predictions Here'!I40,'Points Tracker'!H36='Enter Your Predictions Here'!J40),"Y",""))</f>
        <v/>
      </c>
      <c r="O36" s="138" t="str">
        <f t="shared" si="2"/>
        <v/>
      </c>
    </row>
    <row r="37" spans="2:15" ht="15" customHeight="1" x14ac:dyDescent="0.45">
      <c r="B37" s="134">
        <v>30</v>
      </c>
      <c r="C37" s="78" t="s">
        <v>16</v>
      </c>
      <c r="D37" s="79">
        <v>44893</v>
      </c>
      <c r="E37" s="80">
        <v>0.66666666666666663</v>
      </c>
      <c r="F37" s="81" t="s">
        <v>66</v>
      </c>
      <c r="G37" s="135"/>
      <c r="H37" s="135"/>
      <c r="I37" s="83" t="s">
        <v>64</v>
      </c>
      <c r="J37" s="76" t="str">
        <f t="shared" si="1"/>
        <v/>
      </c>
      <c r="L37" s="136" t="str">
        <f>IF(OR(G37="",H37=""),"",IF(SUM(G37:H37)=SUM('Enter Your Predictions Here'!I41:J41),"Y",""))</f>
        <v/>
      </c>
      <c r="M37" s="137" t="str">
        <f>IF(OR(G37="",H37=""),"",IF(J37='Enter Your Predictions Here'!L41,"Y",""))</f>
        <v/>
      </c>
      <c r="N37" s="137" t="str">
        <f>IF(OR(G37="",H37=""),"",IF(AND(G37='Enter Your Predictions Here'!I41,'Points Tracker'!H37='Enter Your Predictions Here'!J41),"Y",""))</f>
        <v/>
      </c>
      <c r="O37" s="138" t="str">
        <f t="shared" si="2"/>
        <v/>
      </c>
    </row>
    <row r="38" spans="2:15" ht="15" customHeight="1" x14ac:dyDescent="0.45">
      <c r="B38" s="134">
        <v>31</v>
      </c>
      <c r="C38" s="78" t="s">
        <v>16</v>
      </c>
      <c r="D38" s="79">
        <v>44893</v>
      </c>
      <c r="E38" s="80">
        <v>0.79166666666666663</v>
      </c>
      <c r="F38" s="81" t="s">
        <v>59</v>
      </c>
      <c r="G38" s="135"/>
      <c r="H38" s="135"/>
      <c r="I38" s="83" t="s">
        <v>61</v>
      </c>
      <c r="J38" s="76" t="str">
        <f t="shared" si="1"/>
        <v/>
      </c>
      <c r="L38" s="136" t="str">
        <f>IF(OR(G38="",H38=""),"",IF(SUM(G38:H38)=SUM('Enter Your Predictions Here'!I42:J42),"Y",""))</f>
        <v/>
      </c>
      <c r="M38" s="137" t="str">
        <f>IF(OR(G38="",H38=""),"",IF(J38='Enter Your Predictions Here'!L42,"Y",""))</f>
        <v/>
      </c>
      <c r="N38" s="137" t="str">
        <f>IF(OR(G38="",H38=""),"",IF(AND(G38='Enter Your Predictions Here'!I42,'Points Tracker'!H38='Enter Your Predictions Here'!J42),"Y",""))</f>
        <v/>
      </c>
      <c r="O38" s="138" t="str">
        <f t="shared" si="2"/>
        <v/>
      </c>
    </row>
    <row r="39" spans="2:15" ht="15" customHeight="1" x14ac:dyDescent="0.45">
      <c r="B39" s="134">
        <v>32</v>
      </c>
      <c r="C39" s="78" t="s">
        <v>16</v>
      </c>
      <c r="D39" s="79">
        <v>44893</v>
      </c>
      <c r="E39" s="80">
        <v>0.91666666666666663</v>
      </c>
      <c r="F39" s="81" t="s">
        <v>63</v>
      </c>
      <c r="G39" s="135"/>
      <c r="H39" s="135"/>
      <c r="I39" s="83" t="s">
        <v>65</v>
      </c>
      <c r="J39" s="76" t="str">
        <f t="shared" si="1"/>
        <v/>
      </c>
      <c r="L39" s="136" t="str">
        <f>IF(OR(G39="",H39=""),"",IF(SUM(G39:H39)=SUM('Enter Your Predictions Here'!I43:J43),"Y",""))</f>
        <v/>
      </c>
      <c r="M39" s="137" t="str">
        <f>IF(OR(G39="",H39=""),"",IF(J39='Enter Your Predictions Here'!L43,"Y",""))</f>
        <v/>
      </c>
      <c r="N39" s="137" t="str">
        <f>IF(OR(G39="",H39=""),"",IF(AND(G39='Enter Your Predictions Here'!I43,'Points Tracker'!H39='Enter Your Predictions Here'!J43),"Y",""))</f>
        <v/>
      </c>
      <c r="O39" s="138" t="str">
        <f t="shared" si="2"/>
        <v/>
      </c>
    </row>
    <row r="40" spans="2:15" ht="15" customHeight="1" x14ac:dyDescent="0.45">
      <c r="B40" s="134">
        <v>33</v>
      </c>
      <c r="C40" s="78" t="s">
        <v>17</v>
      </c>
      <c r="D40" s="79">
        <v>44894</v>
      </c>
      <c r="E40" s="80">
        <v>0.75</v>
      </c>
      <c r="F40" s="81" t="s">
        <v>37</v>
      </c>
      <c r="G40" s="135"/>
      <c r="H40" s="135"/>
      <c r="I40" s="83" t="s">
        <v>35</v>
      </c>
      <c r="J40" s="76" t="str">
        <f t="shared" si="1"/>
        <v/>
      </c>
      <c r="L40" s="136" t="str">
        <f>IF(OR(G40="",H40=""),"",IF(SUM(G40:H40)=SUM('Enter Your Predictions Here'!I44:J44),"Y",""))</f>
        <v/>
      </c>
      <c r="M40" s="137" t="str">
        <f>IF(OR(G40="",H40=""),"",IF(J40='Enter Your Predictions Here'!L44,"Y",""))</f>
        <v/>
      </c>
      <c r="N40" s="137" t="str">
        <f>IF(OR(G40="",H40=""),"",IF(AND(G40='Enter Your Predictions Here'!I44,'Points Tracker'!H40='Enter Your Predictions Here'!J44),"Y",""))</f>
        <v/>
      </c>
      <c r="O40" s="138" t="str">
        <f t="shared" si="2"/>
        <v/>
      </c>
    </row>
    <row r="41" spans="2:15" ht="15" customHeight="1" x14ac:dyDescent="0.45">
      <c r="B41" s="134">
        <v>34</v>
      </c>
      <c r="C41" s="78" t="s">
        <v>17</v>
      </c>
      <c r="D41" s="79">
        <v>44894</v>
      </c>
      <c r="E41" s="80">
        <v>0.75</v>
      </c>
      <c r="F41" s="81" t="s">
        <v>38</v>
      </c>
      <c r="G41" s="135"/>
      <c r="H41" s="135"/>
      <c r="I41" s="83" t="s">
        <v>36</v>
      </c>
      <c r="J41" s="76" t="str">
        <f t="shared" si="1"/>
        <v/>
      </c>
      <c r="L41" s="136" t="str">
        <f>IF(OR(G41="",H41=""),"",IF(SUM(G41:H41)=SUM('Enter Your Predictions Here'!I45:J45),"Y",""))</f>
        <v/>
      </c>
      <c r="M41" s="137" t="str">
        <f>IF(OR(G41="",H41=""),"",IF(J41='Enter Your Predictions Here'!L45,"Y",""))</f>
        <v/>
      </c>
      <c r="N41" s="137" t="str">
        <f>IF(OR(G41="",H41=""),"",IF(AND(G41='Enter Your Predictions Here'!I45,'Points Tracker'!H41='Enter Your Predictions Here'!J45),"Y",""))</f>
        <v/>
      </c>
      <c r="O41" s="138" t="str">
        <f t="shared" si="2"/>
        <v/>
      </c>
    </row>
    <row r="42" spans="2:15" ht="15" customHeight="1" x14ac:dyDescent="0.45">
      <c r="B42" s="134">
        <v>35</v>
      </c>
      <c r="C42" s="78" t="s">
        <v>17</v>
      </c>
      <c r="D42" s="79">
        <v>44894</v>
      </c>
      <c r="E42" s="80">
        <v>0.91666666666666663</v>
      </c>
      <c r="F42" s="81" t="s">
        <v>42</v>
      </c>
      <c r="G42" s="135"/>
      <c r="H42" s="135"/>
      <c r="I42" s="83" t="s">
        <v>39</v>
      </c>
      <c r="J42" s="76" t="str">
        <f t="shared" si="1"/>
        <v/>
      </c>
      <c r="L42" s="136" t="str">
        <f>IF(OR(G42="",H42=""),"",IF(SUM(G42:H42)=SUM('Enter Your Predictions Here'!I46:J46),"Y",""))</f>
        <v/>
      </c>
      <c r="M42" s="137" t="str">
        <f>IF(OR(G42="",H42=""),"",IF(J42='Enter Your Predictions Here'!L46,"Y",""))</f>
        <v/>
      </c>
      <c r="N42" s="137" t="str">
        <f>IF(OR(G42="",H42=""),"",IF(AND(G42='Enter Your Predictions Here'!I46,'Points Tracker'!H42='Enter Your Predictions Here'!J46),"Y",""))</f>
        <v/>
      </c>
      <c r="O42" s="138" t="str">
        <f t="shared" si="2"/>
        <v/>
      </c>
    </row>
    <row r="43" spans="2:15" ht="15" customHeight="1" x14ac:dyDescent="0.45">
      <c r="B43" s="134">
        <v>36</v>
      </c>
      <c r="C43" s="78" t="s">
        <v>17</v>
      </c>
      <c r="D43" s="79">
        <v>44894</v>
      </c>
      <c r="E43" s="80">
        <v>0.91666666666666663</v>
      </c>
      <c r="F43" s="81" t="s">
        <v>40</v>
      </c>
      <c r="G43" s="135"/>
      <c r="H43" s="135"/>
      <c r="I43" s="83" t="s">
        <v>41</v>
      </c>
      <c r="J43" s="76" t="str">
        <f t="shared" si="1"/>
        <v/>
      </c>
      <c r="L43" s="136" t="str">
        <f>IF(OR(G43="",H43=""),"",IF(SUM(G43:H43)=SUM('Enter Your Predictions Here'!I47:J47),"Y",""))</f>
        <v/>
      </c>
      <c r="M43" s="137" t="str">
        <f>IF(OR(G43="",H43=""),"",IF(J43='Enter Your Predictions Here'!L47,"Y",""))</f>
        <v/>
      </c>
      <c r="N43" s="137" t="str">
        <f>IF(OR(G43="",H43=""),"",IF(AND(G43='Enter Your Predictions Here'!I47,'Points Tracker'!H43='Enter Your Predictions Here'!J47),"Y",""))</f>
        <v/>
      </c>
      <c r="O43" s="138" t="str">
        <f t="shared" si="2"/>
        <v/>
      </c>
    </row>
    <row r="44" spans="2:15" ht="15" customHeight="1" x14ac:dyDescent="0.45">
      <c r="B44" s="134">
        <v>37</v>
      </c>
      <c r="C44" s="78" t="s">
        <v>18</v>
      </c>
      <c r="D44" s="79">
        <v>44895</v>
      </c>
      <c r="E44" s="80">
        <v>0.75</v>
      </c>
      <c r="F44" s="81" t="s">
        <v>48</v>
      </c>
      <c r="G44" s="135"/>
      <c r="H44" s="135"/>
      <c r="I44" s="83" t="s">
        <v>49</v>
      </c>
      <c r="J44" s="76" t="str">
        <f t="shared" si="1"/>
        <v/>
      </c>
      <c r="L44" s="136" t="str">
        <f>IF(OR(G44="",H44=""),"",IF(SUM(G44:H44)=SUM('Enter Your Predictions Here'!I48:J48),"Y",""))</f>
        <v/>
      </c>
      <c r="M44" s="137" t="str">
        <f>IF(OR(G44="",H44=""),"",IF(J44='Enter Your Predictions Here'!L48,"Y",""))</f>
        <v/>
      </c>
      <c r="N44" s="137" t="str">
        <f>IF(OR(G44="",H44=""),"",IF(AND(G44='Enter Your Predictions Here'!I48,'Points Tracker'!H44='Enter Your Predictions Here'!J48),"Y",""))</f>
        <v/>
      </c>
      <c r="O44" s="138" t="str">
        <f t="shared" si="2"/>
        <v/>
      </c>
    </row>
    <row r="45" spans="2:15" ht="15" customHeight="1" x14ac:dyDescent="0.45">
      <c r="B45" s="134">
        <v>38</v>
      </c>
      <c r="C45" s="78" t="s">
        <v>18</v>
      </c>
      <c r="D45" s="79">
        <v>44895</v>
      </c>
      <c r="E45" s="80">
        <v>0.75</v>
      </c>
      <c r="F45" s="81" t="s">
        <v>50</v>
      </c>
      <c r="G45" s="135"/>
      <c r="H45" s="135"/>
      <c r="I45" s="83" t="s">
        <v>47</v>
      </c>
      <c r="J45" s="76" t="str">
        <f t="shared" si="1"/>
        <v/>
      </c>
      <c r="L45" s="136" t="str">
        <f>IF(OR(G45="",H45=""),"",IF(SUM(G45:H45)=SUM('Enter Your Predictions Here'!I49:J49),"Y",""))</f>
        <v/>
      </c>
      <c r="M45" s="137" t="str">
        <f>IF(OR(G45="",H45=""),"",IF(J45='Enter Your Predictions Here'!L49,"Y",""))</f>
        <v/>
      </c>
      <c r="N45" s="137" t="str">
        <f>IF(OR(G45="",H45=""),"",IF(AND(G45='Enter Your Predictions Here'!I49,'Points Tracker'!H45='Enter Your Predictions Here'!J49),"Y",""))</f>
        <v/>
      </c>
      <c r="O45" s="138" t="str">
        <f t="shared" si="2"/>
        <v/>
      </c>
    </row>
    <row r="46" spans="2:15" ht="15" customHeight="1" x14ac:dyDescent="0.45">
      <c r="B46" s="134">
        <v>39</v>
      </c>
      <c r="C46" s="78" t="s">
        <v>18</v>
      </c>
      <c r="D46" s="79">
        <v>44895</v>
      </c>
      <c r="E46" s="80">
        <v>0.91666666666666663</v>
      </c>
      <c r="F46" s="81" t="s">
        <v>46</v>
      </c>
      <c r="G46" s="135"/>
      <c r="H46" s="135"/>
      <c r="I46" s="83" t="s">
        <v>43</v>
      </c>
      <c r="J46" s="76" t="str">
        <f t="shared" si="1"/>
        <v/>
      </c>
      <c r="L46" s="136" t="str">
        <f>IF(OR(G46="",H46=""),"",IF(SUM(G46:H46)=SUM('Enter Your Predictions Here'!I50:J50),"Y",""))</f>
        <v/>
      </c>
      <c r="M46" s="137" t="str">
        <f>IF(OR(G46="",H46=""),"",IF(J46='Enter Your Predictions Here'!L50,"Y",""))</f>
        <v/>
      </c>
      <c r="N46" s="137" t="str">
        <f>IF(OR(G46="",H46=""),"",IF(AND(G46='Enter Your Predictions Here'!I50,'Points Tracker'!H46='Enter Your Predictions Here'!J50),"Y",""))</f>
        <v/>
      </c>
      <c r="O46" s="138" t="str">
        <f t="shared" si="2"/>
        <v/>
      </c>
    </row>
    <row r="47" spans="2:15" ht="15" customHeight="1" x14ac:dyDescent="0.45">
      <c r="B47" s="134">
        <v>40</v>
      </c>
      <c r="C47" s="78" t="s">
        <v>18</v>
      </c>
      <c r="D47" s="79">
        <v>44895</v>
      </c>
      <c r="E47" s="80">
        <v>0.91666666666666663</v>
      </c>
      <c r="F47" s="81" t="s">
        <v>44</v>
      </c>
      <c r="G47" s="135"/>
      <c r="H47" s="135"/>
      <c r="I47" s="83" t="s">
        <v>45</v>
      </c>
      <c r="J47" s="76" t="str">
        <f t="shared" si="1"/>
        <v/>
      </c>
      <c r="L47" s="136" t="str">
        <f>IF(OR(G47="",H47=""),"",IF(SUM(G47:H47)=SUM('Enter Your Predictions Here'!I51:J51),"Y",""))</f>
        <v/>
      </c>
      <c r="M47" s="137" t="str">
        <f>IF(OR(G47="",H47=""),"",IF(J47='Enter Your Predictions Here'!L51,"Y",""))</f>
        <v/>
      </c>
      <c r="N47" s="137" t="str">
        <f>IF(OR(G47="",H47=""),"",IF(AND(G47='Enter Your Predictions Here'!I51,'Points Tracker'!H47='Enter Your Predictions Here'!J51),"Y",""))</f>
        <v/>
      </c>
      <c r="O47" s="138" t="str">
        <f t="shared" si="2"/>
        <v/>
      </c>
    </row>
    <row r="48" spans="2:15" ht="15" customHeight="1" x14ac:dyDescent="0.45">
      <c r="B48" s="134">
        <v>41</v>
      </c>
      <c r="C48" s="78" t="s">
        <v>19</v>
      </c>
      <c r="D48" s="79">
        <v>44896</v>
      </c>
      <c r="E48" s="80">
        <v>0.75</v>
      </c>
      <c r="F48" s="81" t="s">
        <v>58</v>
      </c>
      <c r="G48" s="135"/>
      <c r="H48" s="135"/>
      <c r="I48" s="83" t="s">
        <v>55</v>
      </c>
      <c r="J48" s="76" t="str">
        <f t="shared" si="1"/>
        <v/>
      </c>
      <c r="L48" s="136" t="str">
        <f>IF(OR(G48="",H48=""),"",IF(SUM(G48:H48)=SUM('Enter Your Predictions Here'!I52:J52),"Y",""))</f>
        <v/>
      </c>
      <c r="M48" s="137" t="str">
        <f>IF(OR(G48="",H48=""),"",IF(J48='Enter Your Predictions Here'!L52,"Y",""))</f>
        <v/>
      </c>
      <c r="N48" s="137" t="str">
        <f>IF(OR(G48="",H48=""),"",IF(AND(G48='Enter Your Predictions Here'!I52,'Points Tracker'!H48='Enter Your Predictions Here'!J52),"Y",""))</f>
        <v/>
      </c>
      <c r="O48" s="138" t="str">
        <f t="shared" si="2"/>
        <v/>
      </c>
    </row>
    <row r="49" spans="2:15" ht="15" customHeight="1" x14ac:dyDescent="0.45">
      <c r="B49" s="134">
        <v>42</v>
      </c>
      <c r="C49" s="78" t="s">
        <v>19</v>
      </c>
      <c r="D49" s="79">
        <v>44896</v>
      </c>
      <c r="E49" s="80">
        <v>0.75</v>
      </c>
      <c r="F49" s="81" t="s">
        <v>56</v>
      </c>
      <c r="G49" s="135"/>
      <c r="H49" s="135"/>
      <c r="I49" s="83" t="s">
        <v>57</v>
      </c>
      <c r="J49" s="76" t="str">
        <f t="shared" si="1"/>
        <v/>
      </c>
      <c r="L49" s="136" t="str">
        <f>IF(OR(G49="",H49=""),"",IF(SUM(G49:H49)=SUM('Enter Your Predictions Here'!I53:J53),"Y",""))</f>
        <v/>
      </c>
      <c r="M49" s="137" t="str">
        <f>IF(OR(G49="",H49=""),"",IF(J49='Enter Your Predictions Here'!L53,"Y",""))</f>
        <v/>
      </c>
      <c r="N49" s="137" t="str">
        <f>IF(OR(G49="",H49=""),"",IF(AND(G49='Enter Your Predictions Here'!I53,'Points Tracker'!H49='Enter Your Predictions Here'!J53),"Y",""))</f>
        <v/>
      </c>
      <c r="O49" s="138" t="str">
        <f t="shared" si="2"/>
        <v/>
      </c>
    </row>
    <row r="50" spans="2:15" ht="15" customHeight="1" x14ac:dyDescent="0.45">
      <c r="B50" s="134">
        <v>43</v>
      </c>
      <c r="C50" s="78" t="s">
        <v>19</v>
      </c>
      <c r="D50" s="79">
        <v>44896</v>
      </c>
      <c r="E50" s="80">
        <v>0.91666666666666663</v>
      </c>
      <c r="F50" s="81" t="s">
        <v>54</v>
      </c>
      <c r="G50" s="135"/>
      <c r="H50" s="135"/>
      <c r="I50" s="83" t="s">
        <v>51</v>
      </c>
      <c r="J50" s="76" t="str">
        <f>IF(AND(G50="",H50=""),"",IF(G50=H50,"D",IF(G50&gt;H50,"H",IF(H50&gt;G50,"A"))))</f>
        <v/>
      </c>
      <c r="L50" s="136" t="str">
        <f>IF(OR(G50="",H50=""),"",IF(SUM(G50:H50)=SUM('Enter Your Predictions Here'!I54:J54),"Y",""))</f>
        <v/>
      </c>
      <c r="M50" s="137" t="str">
        <f>IF(OR(G50="",H50=""),"",IF(J50='Enter Your Predictions Here'!L54,"Y",""))</f>
        <v/>
      </c>
      <c r="N50" s="137" t="str">
        <f>IF(OR(G50="",H50=""),"",IF(AND(G50='Enter Your Predictions Here'!I54,'Points Tracker'!H50='Enter Your Predictions Here'!J54),"Y",""))</f>
        <v/>
      </c>
      <c r="O50" s="138" t="str">
        <f>IF(AND(G50="",H50=""),"",IF(N50="Y",5,IF(M50="Y",2,IF(L50="Y",1,0))))</f>
        <v/>
      </c>
    </row>
    <row r="51" spans="2:15" ht="15" customHeight="1" x14ac:dyDescent="0.45">
      <c r="B51" s="134">
        <v>44</v>
      </c>
      <c r="C51" s="78" t="s">
        <v>19</v>
      </c>
      <c r="D51" s="79">
        <v>44896</v>
      </c>
      <c r="E51" s="80">
        <v>0.91666666666666663</v>
      </c>
      <c r="F51" s="81" t="s">
        <v>52</v>
      </c>
      <c r="G51" s="135"/>
      <c r="H51" s="135"/>
      <c r="I51" s="83" t="s">
        <v>53</v>
      </c>
      <c r="J51" s="76" t="str">
        <f t="shared" si="1"/>
        <v/>
      </c>
      <c r="L51" s="136" t="str">
        <f>IF(OR(G51="",H51=""),"",IF(SUM(G51:H51)=SUM('Enter Your Predictions Here'!I55:J55),"Y",""))</f>
        <v/>
      </c>
      <c r="M51" s="137" t="str">
        <f>IF(OR(G51="",H51=""),"",IF(J51='Enter Your Predictions Here'!L55,"Y",""))</f>
        <v/>
      </c>
      <c r="N51" s="137" t="str">
        <f>IF(OR(G51="",H51=""),"",IF(AND(G51='Enter Your Predictions Here'!I55,'Points Tracker'!H51='Enter Your Predictions Here'!J55),"Y",""))</f>
        <v/>
      </c>
      <c r="O51" s="138" t="str">
        <f t="shared" si="2"/>
        <v/>
      </c>
    </row>
    <row r="52" spans="2:15" ht="15" customHeight="1" x14ac:dyDescent="0.45">
      <c r="B52" s="77">
        <v>45</v>
      </c>
      <c r="C52" s="78" t="s">
        <v>20</v>
      </c>
      <c r="D52" s="79">
        <v>44897</v>
      </c>
      <c r="E52" s="80">
        <v>0.75</v>
      </c>
      <c r="F52" s="81" t="s">
        <v>64</v>
      </c>
      <c r="G52" s="135"/>
      <c r="H52" s="135"/>
      <c r="I52" s="83" t="s">
        <v>65</v>
      </c>
      <c r="J52" s="76" t="str">
        <f t="shared" si="1"/>
        <v/>
      </c>
      <c r="L52" s="136" t="str">
        <f>IF(OR(G52="",H52=""),"",IF(SUM(G52:H52)=SUM('Enter Your Predictions Here'!I56:J56),"Y",""))</f>
        <v/>
      </c>
      <c r="M52" s="137" t="str">
        <f>IF(OR(G52="",H52=""),"",IF(J52='Enter Your Predictions Here'!L56,"Y",""))</f>
        <v/>
      </c>
      <c r="N52" s="137" t="str">
        <f>IF(OR(G52="",H52=""),"",IF(AND(G52='Enter Your Predictions Here'!I56,'Points Tracker'!H52='Enter Your Predictions Here'!J56),"Y",""))</f>
        <v/>
      </c>
      <c r="O52" s="138" t="str">
        <f t="shared" si="2"/>
        <v/>
      </c>
    </row>
    <row r="53" spans="2:15" ht="15" customHeight="1" x14ac:dyDescent="0.45">
      <c r="B53" s="77">
        <v>46</v>
      </c>
      <c r="C53" s="78" t="s">
        <v>20</v>
      </c>
      <c r="D53" s="79">
        <v>44897</v>
      </c>
      <c r="E53" s="80">
        <v>0.75</v>
      </c>
      <c r="F53" s="81" t="s">
        <v>66</v>
      </c>
      <c r="G53" s="135"/>
      <c r="H53" s="135"/>
      <c r="I53" s="83" t="s">
        <v>63</v>
      </c>
      <c r="J53" s="76" t="str">
        <f t="shared" si="1"/>
        <v/>
      </c>
      <c r="L53" s="136" t="str">
        <f>IF(OR(G53="",H53=""),"",IF(SUM(G53:H53)=SUM('Enter Your Predictions Here'!I57:J57),"Y",""))</f>
        <v/>
      </c>
      <c r="M53" s="137" t="str">
        <f>IF(OR(G53="",H53=""),"",IF(J53='Enter Your Predictions Here'!L57,"Y",""))</f>
        <v/>
      </c>
      <c r="N53" s="137" t="str">
        <f>IF(OR(G53="",H53=""),"",IF(AND(G53='Enter Your Predictions Here'!I57,'Points Tracker'!H53='Enter Your Predictions Here'!J57),"Y",""))</f>
        <v/>
      </c>
      <c r="O53" s="138" t="str">
        <f t="shared" si="2"/>
        <v/>
      </c>
    </row>
    <row r="54" spans="2:15" ht="15" customHeight="1" x14ac:dyDescent="0.45">
      <c r="B54" s="77">
        <v>47</v>
      </c>
      <c r="C54" s="78" t="s">
        <v>20</v>
      </c>
      <c r="D54" s="79">
        <v>44897</v>
      </c>
      <c r="E54" s="80">
        <v>0.91666666666666663</v>
      </c>
      <c r="F54" s="81" t="s">
        <v>60</v>
      </c>
      <c r="G54" s="135"/>
      <c r="H54" s="135"/>
      <c r="I54" s="83" t="s">
        <v>61</v>
      </c>
      <c r="J54" s="76" t="str">
        <f t="shared" si="1"/>
        <v/>
      </c>
      <c r="L54" s="136" t="str">
        <f>IF(OR(G54="",H54=""),"",IF(SUM(G54:H54)=SUM('Enter Your Predictions Here'!I58:J58),"Y",""))</f>
        <v/>
      </c>
      <c r="M54" s="137" t="str">
        <f>IF(OR(G54="",H54=""),"",IF(J54='Enter Your Predictions Here'!L58,"Y",""))</f>
        <v/>
      </c>
      <c r="N54" s="137" t="str">
        <f>IF(OR(G54="",H54=""),"",IF(AND(G54='Enter Your Predictions Here'!I58,'Points Tracker'!H54='Enter Your Predictions Here'!J58),"Y",""))</f>
        <v/>
      </c>
      <c r="O54" s="138" t="str">
        <f t="shared" si="2"/>
        <v/>
      </c>
    </row>
    <row r="55" spans="2:15" ht="15" customHeight="1" thickBot="1" x14ac:dyDescent="0.5">
      <c r="B55" s="104">
        <v>48</v>
      </c>
      <c r="C55" s="105" t="s">
        <v>20</v>
      </c>
      <c r="D55" s="106">
        <v>44897</v>
      </c>
      <c r="E55" s="107">
        <v>0.91666666666666663</v>
      </c>
      <c r="F55" s="108" t="s">
        <v>62</v>
      </c>
      <c r="G55" s="139"/>
      <c r="H55" s="139"/>
      <c r="I55" s="110" t="s">
        <v>59</v>
      </c>
      <c r="J55" s="76" t="str">
        <f t="shared" si="1"/>
        <v/>
      </c>
      <c r="L55" s="140" t="str">
        <f>IF(OR(G55="",H55=""),"",IF(SUM(G55:H55)=SUM('Enter Your Predictions Here'!I59:J59),"Y",""))</f>
        <v/>
      </c>
      <c r="M55" s="141" t="str">
        <f>IF(OR(G55="",H55=""),"",IF(J55='Enter Your Predictions Here'!L59,"Y",""))</f>
        <v/>
      </c>
      <c r="N55" s="141" t="str">
        <f>IF(OR(G55="",H55=""),"",IF(AND(G55='Enter Your Predictions Here'!I59,'Points Tracker'!H55='Enter Your Predictions Here'!J59),"Y",""))</f>
        <v/>
      </c>
      <c r="O55" s="142" t="str">
        <f t="shared" si="2"/>
        <v/>
      </c>
    </row>
    <row r="56" spans="2:15" x14ac:dyDescent="0.45">
      <c r="B56" s="44"/>
      <c r="C56" s="111"/>
      <c r="D56" s="44"/>
      <c r="E56" s="112"/>
      <c r="F56" s="113"/>
      <c r="G56" s="114"/>
      <c r="H56" s="114"/>
      <c r="I56" s="115"/>
      <c r="J56" s="116"/>
    </row>
    <row r="57" spans="2:15" ht="12.75" hidden="1" customHeight="1" x14ac:dyDescent="0.45"/>
    <row r="58" spans="2:15" ht="12.75" hidden="1" customHeight="1" x14ac:dyDescent="0.45"/>
    <row r="60" spans="2:15" ht="12.75" hidden="1" customHeight="1" x14ac:dyDescent="0.45"/>
    <row r="61" spans="2:15" ht="12.75" hidden="1" customHeight="1" x14ac:dyDescent="0.45"/>
    <row r="62" spans="2:15" ht="12.75" hidden="1" customHeight="1" x14ac:dyDescent="0.45"/>
    <row r="63" spans="2:15" ht="12.75" hidden="1" customHeight="1" x14ac:dyDescent="0.45"/>
    <row r="64" spans="2:15" s="46" customFormat="1" ht="12.75" hidden="1" customHeight="1" x14ac:dyDescent="0.45">
      <c r="B64" s="37"/>
      <c r="C64" s="37"/>
      <c r="D64" s="37"/>
      <c r="E64" s="38"/>
      <c r="F64" s="39"/>
      <c r="G64" s="40"/>
      <c r="H64" s="40"/>
      <c r="I64" s="41"/>
      <c r="J64" s="42"/>
      <c r="K64" s="34"/>
      <c r="O64" s="143"/>
    </row>
    <row r="65" spans="2:15" s="46" customFormat="1" ht="12.75" hidden="1" customHeight="1" x14ac:dyDescent="0.45">
      <c r="B65" s="37"/>
      <c r="C65" s="37"/>
      <c r="D65" s="37"/>
      <c r="E65" s="38"/>
      <c r="F65" s="39"/>
      <c r="G65" s="40"/>
      <c r="H65" s="40"/>
      <c r="I65" s="41"/>
      <c r="J65" s="42"/>
      <c r="K65" s="34"/>
      <c r="O65" s="143"/>
    </row>
    <row r="66" spans="2:15" s="46" customFormat="1" ht="12.75" hidden="1" customHeight="1" x14ac:dyDescent="0.45">
      <c r="B66" s="37"/>
      <c r="C66" s="37"/>
      <c r="D66" s="37"/>
      <c r="E66" s="38"/>
      <c r="F66" s="39"/>
      <c r="G66" s="40"/>
      <c r="H66" s="40"/>
      <c r="I66" s="41"/>
      <c r="J66" s="42"/>
      <c r="K66" s="34"/>
      <c r="O66" s="143"/>
    </row>
    <row r="67" spans="2:15" s="46" customFormat="1" ht="12.75" hidden="1" customHeight="1" x14ac:dyDescent="0.45">
      <c r="B67" s="37"/>
      <c r="C67" s="37"/>
      <c r="D67" s="37"/>
      <c r="E67" s="38"/>
      <c r="F67" s="39"/>
      <c r="G67" s="40"/>
      <c r="H67" s="40"/>
      <c r="I67" s="41"/>
      <c r="J67" s="42"/>
      <c r="K67" s="34"/>
      <c r="O67" s="143"/>
    </row>
    <row r="68" spans="2:15" s="46" customFormat="1" ht="12.75" hidden="1" customHeight="1" x14ac:dyDescent="0.45">
      <c r="B68" s="37"/>
      <c r="C68" s="37"/>
      <c r="D68" s="37"/>
      <c r="E68" s="38"/>
      <c r="F68" s="39"/>
      <c r="G68" s="40"/>
      <c r="H68" s="40"/>
      <c r="I68" s="41"/>
      <c r="J68" s="42"/>
      <c r="K68" s="34"/>
      <c r="O68" s="143"/>
    </row>
    <row r="69" spans="2:15" s="46" customFormat="1" ht="12.75" hidden="1" customHeight="1" x14ac:dyDescent="0.45">
      <c r="B69" s="37"/>
      <c r="C69" s="37"/>
      <c r="D69" s="37"/>
      <c r="E69" s="38"/>
      <c r="F69" s="39"/>
      <c r="G69" s="40"/>
      <c r="H69" s="40"/>
      <c r="I69" s="41"/>
      <c r="J69" s="42"/>
      <c r="K69" s="34"/>
      <c r="O69" s="143"/>
    </row>
    <row r="70" spans="2:15" s="46" customFormat="1" ht="12.75" hidden="1" customHeight="1" x14ac:dyDescent="0.45">
      <c r="B70" s="37"/>
      <c r="C70" s="37"/>
      <c r="D70" s="37"/>
      <c r="E70" s="38"/>
      <c r="F70" s="39"/>
      <c r="G70" s="40"/>
      <c r="H70" s="40"/>
      <c r="I70" s="41"/>
      <c r="J70" s="42"/>
      <c r="K70" s="34"/>
      <c r="O70" s="143"/>
    </row>
    <row r="71" spans="2:15" s="46" customFormat="1" ht="12.75" hidden="1" customHeight="1" x14ac:dyDescent="0.45">
      <c r="B71" s="37"/>
      <c r="C71" s="37"/>
      <c r="D71" s="37"/>
      <c r="E71" s="38"/>
      <c r="F71" s="39"/>
      <c r="G71" s="40"/>
      <c r="H71" s="40"/>
      <c r="I71" s="41"/>
      <c r="J71" s="42"/>
      <c r="K71" s="34"/>
      <c r="O71" s="143"/>
    </row>
    <row r="72" spans="2:15" s="46" customFormat="1" ht="12.75" hidden="1" customHeight="1" x14ac:dyDescent="0.45">
      <c r="B72" s="37"/>
      <c r="C72" s="37"/>
      <c r="D72" s="37"/>
      <c r="E72" s="38"/>
      <c r="F72" s="39"/>
      <c r="G72" s="40"/>
      <c r="H72" s="40"/>
      <c r="I72" s="41"/>
      <c r="J72" s="42"/>
      <c r="K72" s="34"/>
      <c r="O72" s="143"/>
    </row>
    <row r="73" spans="2:15" s="46" customFormat="1" ht="12.75" hidden="1" customHeight="1" x14ac:dyDescent="0.45">
      <c r="B73" s="37"/>
      <c r="C73" s="37"/>
      <c r="D73" s="37"/>
      <c r="E73" s="38"/>
      <c r="F73" s="39"/>
      <c r="G73" s="40"/>
      <c r="H73" s="40"/>
      <c r="I73" s="41"/>
      <c r="J73" s="42"/>
      <c r="K73" s="34"/>
      <c r="O73" s="143"/>
    </row>
    <row r="74" spans="2:15" s="46" customFormat="1" ht="12.75" hidden="1" customHeight="1" x14ac:dyDescent="0.45">
      <c r="B74" s="37"/>
      <c r="C74" s="37"/>
      <c r="D74" s="37"/>
      <c r="E74" s="38"/>
      <c r="F74" s="39"/>
      <c r="G74" s="40"/>
      <c r="H74" s="40"/>
      <c r="I74" s="41"/>
      <c r="J74" s="42"/>
      <c r="K74" s="34"/>
      <c r="O74" s="143"/>
    </row>
    <row r="75" spans="2:15" s="46" customFormat="1" ht="12.75" hidden="1" customHeight="1" x14ac:dyDescent="0.45">
      <c r="B75" s="37"/>
      <c r="C75" s="37"/>
      <c r="D75" s="37"/>
      <c r="E75" s="38"/>
      <c r="F75" s="39"/>
      <c r="G75" s="40"/>
      <c r="H75" s="40"/>
      <c r="I75" s="41"/>
      <c r="J75" s="42"/>
      <c r="K75" s="34"/>
      <c r="O75" s="143"/>
    </row>
    <row r="76" spans="2:15" s="46" customFormat="1" ht="12.75" hidden="1" customHeight="1" x14ac:dyDescent="0.45">
      <c r="B76" s="37"/>
      <c r="C76" s="37"/>
      <c r="D76" s="37"/>
      <c r="E76" s="38"/>
      <c r="F76" s="39"/>
      <c r="G76" s="40"/>
      <c r="H76" s="40"/>
      <c r="I76" s="41"/>
      <c r="J76" s="42"/>
      <c r="K76" s="34"/>
      <c r="O76" s="143"/>
    </row>
    <row r="77" spans="2:15" s="46" customFormat="1" ht="12.75" hidden="1" customHeight="1" x14ac:dyDescent="0.45">
      <c r="B77" s="37"/>
      <c r="C77" s="37"/>
      <c r="D77" s="37"/>
      <c r="E77" s="38"/>
      <c r="F77" s="39"/>
      <c r="G77" s="40"/>
      <c r="H77" s="40"/>
      <c r="I77" s="41"/>
      <c r="J77" s="42"/>
      <c r="K77" s="34"/>
      <c r="O77" s="143"/>
    </row>
    <row r="78" spans="2:15" s="46" customFormat="1" ht="12.75" hidden="1" customHeight="1" x14ac:dyDescent="0.45">
      <c r="B78" s="37"/>
      <c r="C78" s="37"/>
      <c r="D78" s="37"/>
      <c r="E78" s="38"/>
      <c r="F78" s="39"/>
      <c r="G78" s="40"/>
      <c r="H78" s="40"/>
      <c r="I78" s="41"/>
      <c r="J78" s="42"/>
      <c r="K78" s="34"/>
      <c r="O78" s="143"/>
    </row>
    <row r="80" spans="2:15" s="47" customFormat="1" ht="12.75" hidden="1" customHeight="1" x14ac:dyDescent="0.45">
      <c r="B80" s="37"/>
      <c r="C80" s="37"/>
      <c r="D80" s="37"/>
      <c r="E80" s="38"/>
      <c r="F80" s="39"/>
      <c r="G80" s="40"/>
      <c r="H80" s="40"/>
      <c r="I80" s="41"/>
      <c r="J80" s="42"/>
      <c r="K80" s="34"/>
      <c r="L80" s="46"/>
      <c r="M80" s="46"/>
      <c r="N80" s="46"/>
      <c r="O80" s="143"/>
    </row>
    <row r="81" spans="2:15" s="47" customFormat="1" ht="12.75" hidden="1" customHeight="1" x14ac:dyDescent="0.45">
      <c r="B81" s="37"/>
      <c r="C81" s="37"/>
      <c r="D81" s="37"/>
      <c r="E81" s="38"/>
      <c r="F81" s="39"/>
      <c r="G81" s="40"/>
      <c r="H81" s="40"/>
      <c r="I81" s="41"/>
      <c r="J81" s="42"/>
      <c r="K81" s="34"/>
      <c r="L81" s="46"/>
      <c r="M81" s="46"/>
      <c r="N81" s="46"/>
      <c r="O81" s="143"/>
    </row>
    <row r="82" spans="2:15" s="47" customFormat="1" hidden="1" x14ac:dyDescent="0.45">
      <c r="B82" s="37"/>
      <c r="C82" s="37"/>
      <c r="D82" s="37"/>
      <c r="E82" s="38"/>
      <c r="F82" s="39"/>
      <c r="G82" s="40"/>
      <c r="H82" s="40"/>
      <c r="I82" s="41"/>
      <c r="J82" s="42"/>
      <c r="K82" s="34"/>
      <c r="L82" s="46"/>
      <c r="M82" s="46"/>
      <c r="N82" s="46"/>
      <c r="O82" s="143"/>
    </row>
    <row r="84" spans="2:15" s="47" customFormat="1" ht="12.75" hidden="1" customHeight="1" x14ac:dyDescent="0.45">
      <c r="B84" s="37"/>
      <c r="C84" s="37"/>
      <c r="D84" s="37"/>
      <c r="E84" s="38"/>
      <c r="F84" s="39"/>
      <c r="G84" s="40"/>
      <c r="H84" s="40"/>
      <c r="I84" s="41"/>
      <c r="J84" s="42"/>
      <c r="K84" s="34"/>
      <c r="L84" s="46"/>
      <c r="M84" s="46"/>
      <c r="N84" s="46"/>
      <c r="O84" s="143"/>
    </row>
    <row r="85" spans="2:15" s="47" customFormat="1" ht="12.75" hidden="1" customHeight="1" x14ac:dyDescent="0.45">
      <c r="B85" s="37"/>
      <c r="C85" s="37"/>
      <c r="D85" s="37"/>
      <c r="E85" s="38"/>
      <c r="F85" s="39"/>
      <c r="G85" s="40"/>
      <c r="H85" s="40"/>
      <c r="I85" s="41"/>
      <c r="J85" s="42"/>
      <c r="K85" s="34"/>
      <c r="L85" s="46"/>
      <c r="M85" s="46"/>
      <c r="N85" s="46"/>
      <c r="O85" s="143"/>
    </row>
    <row r="86" spans="2:15" s="47" customFormat="1" hidden="1" x14ac:dyDescent="0.45">
      <c r="B86" s="37"/>
      <c r="C86" s="37"/>
      <c r="D86" s="37"/>
      <c r="E86" s="38"/>
      <c r="F86" s="39"/>
      <c r="G86" s="40"/>
      <c r="H86" s="40"/>
      <c r="I86" s="41"/>
      <c r="J86" s="42"/>
      <c r="K86" s="34"/>
      <c r="L86" s="46"/>
      <c r="M86" s="46"/>
      <c r="N86" s="46"/>
      <c r="O86" s="143"/>
    </row>
    <row r="87" spans="2:15" s="47" customFormat="1" hidden="1" x14ac:dyDescent="0.45">
      <c r="B87" s="37"/>
      <c r="C87" s="37"/>
      <c r="D87" s="37"/>
      <c r="E87" s="38"/>
      <c r="F87" s="39"/>
      <c r="G87" s="40"/>
      <c r="H87" s="40"/>
      <c r="I87" s="41"/>
      <c r="J87" s="42"/>
      <c r="K87" s="34"/>
      <c r="L87" s="46"/>
      <c r="M87" s="46"/>
      <c r="N87" s="46"/>
      <c r="O87" s="143"/>
    </row>
    <row r="88" spans="2:15" s="47" customFormat="1" ht="12.75" hidden="1" customHeight="1" x14ac:dyDescent="0.45">
      <c r="B88" s="37"/>
      <c r="C88" s="37"/>
      <c r="D88" s="37"/>
      <c r="E88" s="38"/>
      <c r="F88" s="39"/>
      <c r="G88" s="40"/>
      <c r="H88" s="40"/>
      <c r="I88" s="41"/>
      <c r="J88" s="42"/>
      <c r="K88" s="34"/>
      <c r="L88" s="46"/>
      <c r="M88" s="46"/>
      <c r="N88" s="46"/>
      <c r="O88" s="143"/>
    </row>
    <row r="89" spans="2:15" s="47" customFormat="1" ht="12.75" hidden="1" customHeight="1" x14ac:dyDescent="0.45">
      <c r="B89" s="37"/>
      <c r="C89" s="37"/>
      <c r="D89" s="37"/>
      <c r="E89" s="38"/>
      <c r="F89" s="39"/>
      <c r="G89" s="40"/>
      <c r="H89" s="40"/>
      <c r="I89" s="41"/>
      <c r="J89" s="42"/>
      <c r="K89" s="34"/>
      <c r="L89" s="46"/>
      <c r="M89" s="46"/>
      <c r="N89" s="46"/>
      <c r="O89" s="143"/>
    </row>
    <row r="97" spans="5:15" s="37" customFormat="1" ht="12.75" hidden="1" customHeight="1" x14ac:dyDescent="0.45">
      <c r="E97" s="38"/>
      <c r="F97" s="39"/>
      <c r="G97" s="40"/>
      <c r="H97" s="40"/>
      <c r="I97" s="41"/>
      <c r="J97" s="42"/>
      <c r="K97" s="34"/>
      <c r="O97" s="124"/>
    </row>
    <row r="98" spans="5:15" s="37" customFormat="1" ht="12.75" hidden="1" customHeight="1" x14ac:dyDescent="0.45">
      <c r="E98" s="38"/>
      <c r="F98" s="39"/>
      <c r="G98" s="40"/>
      <c r="H98" s="40"/>
      <c r="I98" s="41"/>
      <c r="J98" s="42"/>
      <c r="K98" s="34"/>
      <c r="O98" s="124"/>
    </row>
  </sheetData>
  <sheetProtection algorithmName="SHA-512" hashValue="RlIxj8+izntjgMh9yT09XEZT2KLg+KmsRDZtnncYL7vkC2+o+0hXtat/6n+5hqJw0PWAS2SHrnmHHoJC+JxX1g==" saltValue="HLyidjAoRD0lw2KFbJroYQ==" spinCount="100000" sheet="1" objects="1" scenarios="1" selectLockedCells="1"/>
  <dataConsolidate/>
  <mergeCells count="9">
    <mergeCell ref="B1:O1"/>
    <mergeCell ref="B3:I5"/>
    <mergeCell ref="L4:N4"/>
    <mergeCell ref="O4:O5"/>
    <mergeCell ref="B6:I7"/>
    <mergeCell ref="L6:L7"/>
    <mergeCell ref="M6:M7"/>
    <mergeCell ref="N6:N7"/>
    <mergeCell ref="O6:O7"/>
  </mergeCells>
  <conditionalFormatting sqref="G56">
    <cfRule type="expression" dxfId="3" priority="2" stopIfTrue="1">
      <formula>IF(AND($G56&gt;$H56,ISNUMBER($G56),ISNUMBER($H56)),1,0)</formula>
    </cfRule>
  </conditionalFormatting>
  <conditionalFormatting sqref="H56">
    <cfRule type="expression" dxfId="2" priority="3" stopIfTrue="1">
      <formula>IF(AND($G56&lt;$H56,ISNUMBER($G56),ISNUMBER($H56)),1,0)</formula>
    </cfRule>
  </conditionalFormatting>
  <conditionalFormatting sqref="B8:E55">
    <cfRule type="expression" dxfId="1" priority="4">
      <formula>IF(#REF!=1,1,0)</formula>
    </cfRule>
  </conditionalFormatting>
  <conditionalFormatting sqref="L8:N55">
    <cfRule type="expression" dxfId="0" priority="1">
      <formula>IF(L8="Y",TRUE, FALSE)</formula>
    </cfRule>
  </conditionalFormatting>
  <dataValidations count="2">
    <dataValidation type="list" allowBlank="1" showInputMessage="1" showErrorMessage="1" sqref="G56:H56" xr:uid="{7964ACB3-2171-477E-86B1-35BBCC805CCB}">
      <formula1>"0,1,2,3,4,5,6,7,8,9"</formula1>
    </dataValidation>
    <dataValidation type="whole" allowBlank="1" showInputMessage="1" showErrorMessage="1" errorTitle="Not a real score!" error="Enter a number between 0 and 100" sqref="G8:H55" xr:uid="{B9D685DD-D592-4F0E-AB63-C758820431A9}">
      <formula1>0</formula1>
      <formula2>100</formula2>
    </dataValidation>
  </dataValidations>
  <printOptions horizontalCentered="1" verticalCentered="1"/>
  <pageMargins left="0.25" right="0.25" top="0.75" bottom="0.75" header="0.3" footer="0.3"/>
  <pageSetup paperSize="9" scale="68" orientation="portrait" r:id="rId1"/>
  <headerFooter>
    <oddFooter>&amp;CCommunity Life's World Cup Predictor Challenge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T</vt:lpstr>
      <vt:lpstr>Settings</vt:lpstr>
      <vt:lpstr>Your Details</vt:lpstr>
      <vt:lpstr>Enter Your Predictions Here</vt:lpstr>
      <vt:lpstr>Points Tracker</vt:lpstr>
      <vt:lpstr>db_fifarank</vt:lpstr>
      <vt:lpstr>gmt_delta</vt:lpstr>
      <vt:lpstr>lang</vt:lpstr>
      <vt:lpstr>lang_list</vt:lpstr>
      <vt:lpstr>my_team</vt:lpstr>
      <vt:lpstr>'Enter Your Predictions Here'!Print_Area</vt:lpstr>
      <vt:lpstr>'Points Tracker'!Print_Area</vt:lpstr>
      <vt:lpstr>'Your Details'!Print_Area</vt:lpstr>
      <vt:lpstr>T</vt:lpstr>
      <vt:lpstr>teams</vt:lpstr>
    </vt:vector>
  </TitlesOfParts>
  <Company>KAUST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D. Gray</dc:creator>
  <cp:lastModifiedBy>Stuart D. Gray</cp:lastModifiedBy>
  <dcterms:created xsi:type="dcterms:W3CDTF">2022-11-13T06:46:15Z</dcterms:created>
  <dcterms:modified xsi:type="dcterms:W3CDTF">2022-11-14T08:24:39Z</dcterms:modified>
</cp:coreProperties>
</file>